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Лист1!$3:$5</definedName>
  </definedNames>
  <calcPr calcId="152511"/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10" i="1"/>
  <c r="N9" i="1"/>
  <c r="N8" i="1"/>
  <c r="N7" i="1"/>
  <c r="N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0" i="1"/>
  <c r="K9" i="1"/>
  <c r="K8" i="1"/>
  <c r="K7" i="1"/>
  <c r="K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6" i="1"/>
  <c r="E27" i="1"/>
  <c r="H27" i="1" s="1"/>
  <c r="M21" i="1" l="1"/>
  <c r="M18" i="1"/>
  <c r="M14" i="1"/>
  <c r="M6" i="1"/>
  <c r="J25" i="1"/>
  <c r="J21" i="1"/>
  <c r="J18" i="1"/>
  <c r="J14" i="1"/>
  <c r="J6" i="1"/>
  <c r="G25" i="1"/>
  <c r="G19" i="1"/>
  <c r="G22" i="1"/>
  <c r="G21" i="1"/>
  <c r="G14" i="1"/>
  <c r="L27" i="1" l="1"/>
  <c r="N27" i="1" s="1"/>
  <c r="I27" i="1"/>
  <c r="K27" i="1" s="1"/>
  <c r="F27" i="1"/>
  <c r="C27" i="1"/>
  <c r="D27" i="1"/>
  <c r="B27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13" i="1" s="1"/>
  <c r="B12" i="1"/>
  <c r="B11" i="1"/>
  <c r="B10" i="1"/>
  <c r="B9" i="1"/>
  <c r="B8" i="1"/>
  <c r="B7" i="1"/>
  <c r="B6" i="1"/>
  <c r="J13" i="1" l="1"/>
  <c r="J10" i="1"/>
  <c r="M13" i="1"/>
  <c r="M10" i="1"/>
  <c r="G16" i="1" l="1"/>
  <c r="J7" i="1" l="1"/>
  <c r="J8" i="1"/>
  <c r="J9" i="1"/>
  <c r="J15" i="1"/>
  <c r="J16" i="1"/>
  <c r="J17" i="1"/>
  <c r="J19" i="1"/>
  <c r="J20" i="1"/>
  <c r="M16" i="1" l="1"/>
  <c r="M19" i="1"/>
  <c r="M20" i="1"/>
  <c r="M7" i="1"/>
  <c r="M8" i="1"/>
  <c r="M9" i="1"/>
  <c r="M15" i="1"/>
  <c r="M17" i="1"/>
  <c r="G7" i="1" l="1"/>
  <c r="G8" i="1"/>
  <c r="G9" i="1"/>
  <c r="G12" i="1"/>
  <c r="M23" i="1"/>
  <c r="G23" i="1"/>
  <c r="J23" i="1"/>
  <c r="J24" i="1"/>
  <c r="G24" i="1"/>
  <c r="M24" i="1"/>
  <c r="J22" i="1"/>
  <c r="M22" i="1"/>
  <c r="M25" i="1"/>
  <c r="M27" i="1"/>
  <c r="G27" i="1"/>
  <c r="J27" i="1"/>
</calcChain>
</file>

<file path=xl/sharedStrings.xml><?xml version="1.0" encoding="utf-8"?>
<sst xmlns="http://schemas.openxmlformats.org/spreadsheetml/2006/main" count="60" uniqueCount="58">
  <si>
    <t>Наименование</t>
  </si>
  <si>
    <t>«Экономическое развитие и инновационная экономика Ивановской области»</t>
  </si>
  <si>
    <t>«Развитие сельского хозяйства и регулирование рынков сельскохозяйственной продукции, сырья и продовольствия Ивановской области»</t>
  </si>
  <si>
    <t>«Развитие лесного хозяйства Ивановской области»</t>
  </si>
  <si>
    <t>«Развитие физической культуры и спорта в Ивановской области»</t>
  </si>
  <si>
    <t>«Развитие водохозяйственного комплекса Ивановской области»</t>
  </si>
  <si>
    <t>«Обеспечение услугами жилищно-коммунального хозяйства населения Ивановской области»</t>
  </si>
  <si>
    <t>«Формирование современной городской среды»</t>
  </si>
  <si>
    <t>«Развитие транспортной системы Ивановской области»</t>
  </si>
  <si>
    <t>«Энергосбережение и повышение энергетической эффективности в Ивановской области»</t>
  </si>
  <si>
    <t>«Долгосрочная сбалансированность и устойчивость бюджетной системы Ивановской области»</t>
  </si>
  <si>
    <t>«Управление имуществом Ивановской области и земельными ресурсами»</t>
  </si>
  <si>
    <t>«Совершенствование институтов государственного управления и местного самоуправления Ивановской области»</t>
  </si>
  <si>
    <t>Всего расходов в рамках государственных программ Ивановской области</t>
  </si>
  <si>
    <t>(тыс.руб.)</t>
  </si>
  <si>
    <t>5=4/2</t>
  </si>
  <si>
    <t>6=4/3</t>
  </si>
  <si>
    <t>8=7/2</t>
  </si>
  <si>
    <t>9=7/3</t>
  </si>
  <si>
    <t>11=10/2</t>
  </si>
  <si>
    <t>11=10/3</t>
  </si>
  <si>
    <t>«Развитие здравоохранения Ивановской области»</t>
  </si>
  <si>
    <t>«Развитие образования Ивановской области»</t>
  </si>
  <si>
    <t>«Социальная поддержка граждан в Ивановской области»</t>
  </si>
  <si>
    <t>«Обеспечение доступным и комфортным жильем населения Ивановской области»</t>
  </si>
  <si>
    <t>«Содействие занятости населения Ивановской области»</t>
  </si>
  <si>
    <t>«Развитие культуры и туризма в Ивановской области»</t>
  </si>
  <si>
    <t>«Охрана окружающей среды Ивановской области»</t>
  </si>
  <si>
    <t>«Обеспечение безопасности граждан и профилактика правонарушений в Ивановской области»</t>
  </si>
  <si>
    <t>Проект на 2022 год</t>
  </si>
  <si>
    <t>в 1,6 раз</t>
  </si>
  <si>
    <t>в 1,4 раз</t>
  </si>
  <si>
    <t>в 1,3 раз</t>
  </si>
  <si>
    <t>Не исполнение за 2019 год</t>
  </si>
  <si>
    <t>утверждено за 2019 год 100%</t>
  </si>
  <si>
    <t>Исполнено за 2019 год</t>
  </si>
  <si>
    <t>Ожидаемое исполнение за 2020 год</t>
  </si>
  <si>
    <t>Проект на 2021год</t>
  </si>
  <si>
    <t>Проект на 2023 год</t>
  </si>
  <si>
    <t>«Информационное общество Ивановской области» / «Развитие цифровой экономики и информатизации Ивановской области»</t>
  </si>
  <si>
    <t>в 3,4 раз</t>
  </si>
  <si>
    <t>в 1,2 раз</t>
  </si>
  <si>
    <t>в 40,8 раз</t>
  </si>
  <si>
    <t>в 55,9 раз</t>
  </si>
  <si>
    <t>в 2,6 раз</t>
  </si>
  <si>
    <t>в 2,4 раз</t>
  </si>
  <si>
    <t>Расходы областного бюджета на реализацию государственных программ Ивановской области на 2021 год и на плановый период 2022 и 2023 годов в сравнении с исполнением за 2019 год и ожидаемым исполнением за 2020 год</t>
  </si>
  <si>
    <t>2021 год к исполнению за 2019 год</t>
  </si>
  <si>
    <t>2021 год к ожидаемому исполнению за 2020 год</t>
  </si>
  <si>
    <t>2022 год к исполнению за 2019 год</t>
  </si>
  <si>
    <t>2022 год к ожидаемому исполнению за 2020 год</t>
  </si>
  <si>
    <t>2023 год к исполнению за 2019 год</t>
  </si>
  <si>
    <t>2023 год к ожидаемому исполнению за 2020 год</t>
  </si>
  <si>
    <t>в 9,5 раз</t>
  </si>
  <si>
    <t>в 1,9 раз</t>
  </si>
  <si>
    <t>в 2,5 раз</t>
  </si>
  <si>
    <t>в 13 раз</t>
  </si>
  <si>
    <t>в 2,3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</si>
</sst>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i/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</font>
    <font>
      <b/>
      <sz val="11"/>
      <color rgb="FF000000"/>
      <name val="Arial Cy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" fontId="5" fillId="2" borderId="1">
      <alignment horizontal="right" vertical="top" shrinkToFit="1"/>
    </xf>
    <xf numFmtId="0" fontId="5" fillId="0" borderId="1">
      <alignment vertical="top" wrapText="1"/>
    </xf>
    <xf numFmtId="4" fontId="5" fillId="5" borderId="1">
      <alignment horizontal="right" vertical="top" shrinkToFit="1"/>
    </xf>
    <xf numFmtId="4" fontId="5" fillId="4" borderId="1">
      <alignment horizontal="right" vertical="top" shrinkToFit="1"/>
    </xf>
    <xf numFmtId="0" fontId="9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0" fontId="6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10" fillId="0" borderId="1" xfId="3" applyNumberFormat="1" applyFont="1" applyProtection="1">
      <alignment vertical="top" wrapText="1"/>
    </xf>
    <xf numFmtId="165" fontId="8" fillId="0" borderId="2" xfId="1" applyNumberFormat="1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11" fillId="3" borderId="2" xfId="1" applyNumberFormat="1" applyFont="1" applyFill="1" applyBorder="1" applyAlignment="1">
      <alignment horizontal="center" vertical="center" wrapText="1"/>
    </xf>
    <xf numFmtId="164" fontId="2" fillId="0" borderId="2" xfId="6" applyNumberFormat="1" applyFont="1" applyBorder="1" applyAlignment="1" applyProtection="1">
      <alignment horizontal="center" vertical="center"/>
    </xf>
    <xf numFmtId="164" fontId="4" fillId="0" borderId="2" xfId="6" applyNumberFormat="1" applyFont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2" xfId="6" applyNumberFormat="1" applyFont="1" applyBorder="1" applyAlignment="1" applyProtection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4" fontId="3" fillId="3" borderId="1" xfId="4" applyNumberFormat="1" applyFont="1" applyFill="1" applyAlignment="1" applyProtection="1">
      <alignment horizontal="center" vertical="center" shrinkToFit="1"/>
    </xf>
    <xf numFmtId="164" fontId="10" fillId="5" borderId="1" xfId="4" applyNumberFormat="1" applyFont="1" applyAlignment="1" applyProtection="1">
      <alignment horizontal="right" vertical="center" shrinkToFit="1"/>
    </xf>
    <xf numFmtId="0" fontId="10" fillId="3" borderId="1" xfId="3" applyNumberFormat="1" applyFont="1" applyFill="1" applyProtection="1">
      <alignment vertical="top" wrapText="1"/>
    </xf>
  </cellXfs>
  <cellStyles count="7">
    <cellStyle name="xl23" xfId="6"/>
    <cellStyle name="xl35" xfId="2"/>
    <cellStyle name="xl41" xfId="5"/>
    <cellStyle name="xl61" xfId="3"/>
    <cellStyle name="xl64" xfId="4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A13" sqref="A13"/>
    </sheetView>
  </sheetViews>
  <sheetFormatPr defaultRowHeight="15" x14ac:dyDescent="0.25"/>
  <cols>
    <col min="1" max="1" width="39.85546875" style="1" customWidth="1"/>
    <col min="2" max="2" width="17.42578125" style="1" customWidth="1"/>
    <col min="3" max="3" width="0.140625" hidden="1" customWidth="1"/>
    <col min="4" max="4" width="7.140625" hidden="1" customWidth="1"/>
    <col min="5" max="5" width="19.140625" customWidth="1"/>
    <col min="6" max="6" width="15.7109375" customWidth="1"/>
    <col min="7" max="7" width="14.28515625" customWidth="1"/>
    <col min="8" max="8" width="15.42578125" customWidth="1"/>
    <col min="9" max="9" width="16.140625" customWidth="1"/>
    <col min="10" max="11" width="13.140625" customWidth="1"/>
    <col min="12" max="12" width="13.7109375" customWidth="1"/>
    <col min="13" max="13" width="12.28515625" customWidth="1"/>
    <col min="14" max="14" width="13.140625" customWidth="1"/>
  </cols>
  <sheetData>
    <row r="1" spans="1:14" ht="29.25" customHeight="1" x14ac:dyDescent="0.2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" t="s">
        <v>14</v>
      </c>
    </row>
    <row r="3" spans="1:14" ht="15.75" customHeight="1" x14ac:dyDescent="0.25">
      <c r="A3" s="28" t="s">
        <v>0</v>
      </c>
      <c r="B3" s="28" t="s">
        <v>35</v>
      </c>
      <c r="C3" s="29" t="s">
        <v>34</v>
      </c>
      <c r="D3" s="29" t="s">
        <v>33</v>
      </c>
      <c r="E3" s="30" t="s">
        <v>36</v>
      </c>
      <c r="F3" s="24" t="s">
        <v>37</v>
      </c>
      <c r="G3" s="24" t="s">
        <v>47</v>
      </c>
      <c r="H3" s="24" t="s">
        <v>48</v>
      </c>
      <c r="I3" s="26" t="s">
        <v>29</v>
      </c>
      <c r="J3" s="24" t="s">
        <v>49</v>
      </c>
      <c r="K3" s="24" t="s">
        <v>50</v>
      </c>
      <c r="L3" s="27" t="s">
        <v>38</v>
      </c>
      <c r="M3" s="24" t="s">
        <v>51</v>
      </c>
      <c r="N3" s="24" t="s">
        <v>52</v>
      </c>
    </row>
    <row r="4" spans="1:14" ht="47.25" customHeight="1" x14ac:dyDescent="0.25">
      <c r="A4" s="28"/>
      <c r="B4" s="28"/>
      <c r="C4" s="29"/>
      <c r="D4" s="29"/>
      <c r="E4" s="30"/>
      <c r="F4" s="24"/>
      <c r="G4" s="24"/>
      <c r="H4" s="24"/>
      <c r="I4" s="26"/>
      <c r="J4" s="24"/>
      <c r="K4" s="24"/>
      <c r="L4" s="27"/>
      <c r="M4" s="24"/>
      <c r="N4" s="24"/>
    </row>
    <row r="5" spans="1:14" ht="15.75" customHeight="1" x14ac:dyDescent="0.25">
      <c r="A5" s="5">
        <v>1</v>
      </c>
      <c r="B5" s="5">
        <v>2</v>
      </c>
      <c r="C5" s="5">
        <v>3</v>
      </c>
      <c r="D5" s="5"/>
      <c r="E5" s="5">
        <v>3</v>
      </c>
      <c r="F5" s="6">
        <v>4</v>
      </c>
      <c r="G5" s="5" t="s">
        <v>15</v>
      </c>
      <c r="H5" s="5" t="s">
        <v>16</v>
      </c>
      <c r="I5" s="36">
        <v>7</v>
      </c>
      <c r="J5" s="6" t="s">
        <v>17</v>
      </c>
      <c r="K5" s="6" t="s">
        <v>18</v>
      </c>
      <c r="L5" s="6">
        <v>10</v>
      </c>
      <c r="M5" s="5" t="s">
        <v>19</v>
      </c>
      <c r="N5" s="5" t="s">
        <v>20</v>
      </c>
    </row>
    <row r="6" spans="1:14" ht="30" x14ac:dyDescent="0.25">
      <c r="A6" s="17" t="s">
        <v>21</v>
      </c>
      <c r="B6" s="37">
        <f>ROUND(6633637366.97/1000,1)</f>
        <v>6633637.4000000004</v>
      </c>
      <c r="C6" s="38">
        <v>6633637366.9700003</v>
      </c>
      <c r="D6" s="9"/>
      <c r="E6" s="31">
        <v>12270144.305799998</v>
      </c>
      <c r="F6" s="8">
        <v>8328899.0999999996</v>
      </c>
      <c r="G6" s="18" t="s">
        <v>32</v>
      </c>
      <c r="H6" s="18">
        <f>F6/E6</f>
        <v>0.67879389943792234</v>
      </c>
      <c r="I6" s="22">
        <v>6569488.7000000002</v>
      </c>
      <c r="J6" s="20">
        <f>I6/B6</f>
        <v>0.99032978498342394</v>
      </c>
      <c r="K6" s="20">
        <f>I6/E6</f>
        <v>0.53540435517898965</v>
      </c>
      <c r="L6" s="9">
        <v>5713333.0999999996</v>
      </c>
      <c r="M6" s="18">
        <f>L6/B6</f>
        <v>0.86126701769982172</v>
      </c>
      <c r="N6" s="18">
        <f>L6/E6</f>
        <v>0.46562884328095089</v>
      </c>
    </row>
    <row r="7" spans="1:14" ht="30" x14ac:dyDescent="0.25">
      <c r="A7" s="17" t="s">
        <v>22</v>
      </c>
      <c r="B7" s="37">
        <f>ROUND(8294497705.51/1000,1)</f>
        <v>8294497.7000000002</v>
      </c>
      <c r="C7" s="38">
        <v>8294497705.5100002</v>
      </c>
      <c r="D7" s="10">
        <v>103197.4</v>
      </c>
      <c r="E7" s="31">
        <v>9721791.3693100009</v>
      </c>
      <c r="F7" s="8">
        <v>9834988.3000000007</v>
      </c>
      <c r="G7" s="18">
        <f>F7/B7</f>
        <v>1.1857243989590835</v>
      </c>
      <c r="H7" s="18">
        <f t="shared" ref="H7:H27" si="0">F7/E7</f>
        <v>1.0116436288735164</v>
      </c>
      <c r="I7" s="22">
        <v>5475547.7000000002</v>
      </c>
      <c r="J7" s="20">
        <f>I7/B7</f>
        <v>0.66014216870540576</v>
      </c>
      <c r="K7" s="20">
        <f t="shared" ref="K7:K27" si="1">I7/E7</f>
        <v>0.56322415201023024</v>
      </c>
      <c r="L7" s="9">
        <v>4682547.5</v>
      </c>
      <c r="M7" s="18">
        <f>L7/B7</f>
        <v>0.56453659635109665</v>
      </c>
      <c r="N7" s="18">
        <f t="shared" ref="N7:N27" si="2">L7/E7</f>
        <v>0.48165480230135216</v>
      </c>
    </row>
    <row r="8" spans="1:14" ht="30" x14ac:dyDescent="0.25">
      <c r="A8" s="17" t="s">
        <v>23</v>
      </c>
      <c r="B8" s="37">
        <f>ROUND(8118520406.14/1000,1)</f>
        <v>8118520.4000000004</v>
      </c>
      <c r="C8" s="38">
        <v>8118520406.1400003</v>
      </c>
      <c r="D8" s="10">
        <v>102933.1</v>
      </c>
      <c r="E8" s="31">
        <v>10510914.505740002</v>
      </c>
      <c r="F8" s="8">
        <v>9102156.6999999993</v>
      </c>
      <c r="G8" s="18">
        <f>F8/B8</f>
        <v>1.1211595526692275</v>
      </c>
      <c r="H8" s="18">
        <f t="shared" si="0"/>
        <v>0.86597190901222909</v>
      </c>
      <c r="I8" s="22">
        <v>9138148.5</v>
      </c>
      <c r="J8" s="20">
        <f>I8/B8</f>
        <v>1.12559284817465</v>
      </c>
      <c r="K8" s="20">
        <f t="shared" si="1"/>
        <v>0.8693961400798822</v>
      </c>
      <c r="L8" s="9">
        <v>5609340.5999999996</v>
      </c>
      <c r="M8" s="18">
        <f>L8/B8</f>
        <v>0.69093139188268826</v>
      </c>
      <c r="N8" s="18">
        <f t="shared" si="2"/>
        <v>0.53366817862867622</v>
      </c>
    </row>
    <row r="9" spans="1:14" ht="30" x14ac:dyDescent="0.25">
      <c r="A9" s="17" t="s">
        <v>25</v>
      </c>
      <c r="B9" s="37">
        <f>ROUND(464398549.61/1000,1)</f>
        <v>464398.5</v>
      </c>
      <c r="C9" s="38">
        <v>464398549.61000001</v>
      </c>
      <c r="D9" s="10">
        <v>3827.9</v>
      </c>
      <c r="E9" s="31">
        <v>1350504.0898499999</v>
      </c>
      <c r="F9" s="8">
        <v>505081.4</v>
      </c>
      <c r="G9" s="18">
        <f>F9/B9</f>
        <v>1.0876034267983208</v>
      </c>
      <c r="H9" s="18">
        <f t="shared" si="0"/>
        <v>0.37399472078318496</v>
      </c>
      <c r="I9" s="22">
        <v>504702.6</v>
      </c>
      <c r="J9" s="20">
        <f>I9/B9</f>
        <v>1.0867877480224419</v>
      </c>
      <c r="K9" s="20">
        <f t="shared" si="1"/>
        <v>0.3737142329247275</v>
      </c>
      <c r="L9" s="9">
        <v>172142.2</v>
      </c>
      <c r="M9" s="18">
        <f>L9/B9</f>
        <v>0.37067776920037426</v>
      </c>
      <c r="N9" s="18">
        <f t="shared" si="2"/>
        <v>0.12746514526965985</v>
      </c>
    </row>
    <row r="10" spans="1:14" s="3" customFormat="1" ht="60" x14ac:dyDescent="0.25">
      <c r="A10" s="17" t="s">
        <v>28</v>
      </c>
      <c r="B10" s="37">
        <f>ROUND(277581032.14/1000,1)</f>
        <v>277581</v>
      </c>
      <c r="C10" s="38">
        <v>277581032.13999999</v>
      </c>
      <c r="D10" s="10"/>
      <c r="E10" s="31">
        <v>341535.44815000001</v>
      </c>
      <c r="F10" s="8">
        <v>351736.4</v>
      </c>
      <c r="G10" s="18" t="s">
        <v>32</v>
      </c>
      <c r="H10" s="18">
        <f t="shared" si="0"/>
        <v>1.0298679153372092</v>
      </c>
      <c r="I10" s="22">
        <v>318507.59999999998</v>
      </c>
      <c r="J10" s="20">
        <f t="shared" ref="J10" si="3">I10/B10</f>
        <v>1.1474402066423854</v>
      </c>
      <c r="K10" s="20">
        <f t="shared" si="1"/>
        <v>0.93257552539645505</v>
      </c>
      <c r="L10" s="9">
        <v>318507.59999999998</v>
      </c>
      <c r="M10" s="18">
        <f t="shared" ref="M10" si="4">L10/B10</f>
        <v>1.1474402066423854</v>
      </c>
      <c r="N10" s="18">
        <f t="shared" si="2"/>
        <v>0.93257552539645505</v>
      </c>
    </row>
    <row r="11" spans="1:14" s="3" customFormat="1" ht="30" x14ac:dyDescent="0.25">
      <c r="A11" s="17" t="s">
        <v>27</v>
      </c>
      <c r="B11" s="37">
        <f>ROUND(24579102.95/1000,1)</f>
        <v>24579.1</v>
      </c>
      <c r="C11" s="38">
        <v>24579102.949999999</v>
      </c>
      <c r="D11" s="10">
        <v>258583.2</v>
      </c>
      <c r="E11" s="31">
        <v>105693.04572999998</v>
      </c>
      <c r="F11" s="8">
        <v>1003582.8</v>
      </c>
      <c r="G11" s="18" t="s">
        <v>42</v>
      </c>
      <c r="H11" s="18" t="s">
        <v>53</v>
      </c>
      <c r="I11" s="22">
        <v>1374114.7</v>
      </c>
      <c r="J11" s="20" t="s">
        <v>43</v>
      </c>
      <c r="K11" s="20" t="s">
        <v>56</v>
      </c>
      <c r="L11" s="9">
        <v>38435.300000000003</v>
      </c>
      <c r="M11" s="18" t="s">
        <v>30</v>
      </c>
      <c r="N11" s="18">
        <f t="shared" si="2"/>
        <v>0.36365022631844263</v>
      </c>
    </row>
    <row r="12" spans="1:14" ht="45" x14ac:dyDescent="0.25">
      <c r="A12" s="17" t="s">
        <v>1</v>
      </c>
      <c r="B12" s="37">
        <f>ROUND(546775961.52/1000,1)</f>
        <v>546776</v>
      </c>
      <c r="C12" s="38">
        <v>546775961.51999998</v>
      </c>
      <c r="D12" s="10">
        <v>9917.2999999999993</v>
      </c>
      <c r="E12" s="31">
        <v>585734.20325999998</v>
      </c>
      <c r="F12" s="8">
        <v>161087.20000000001</v>
      </c>
      <c r="G12" s="18">
        <f>F12/B12</f>
        <v>0.29461278476012115</v>
      </c>
      <c r="H12" s="18">
        <f t="shared" si="0"/>
        <v>0.27501757470102089</v>
      </c>
      <c r="I12" s="22">
        <v>1442061.1</v>
      </c>
      <c r="J12" s="20" t="s">
        <v>44</v>
      </c>
      <c r="K12" s="20" t="s">
        <v>55</v>
      </c>
      <c r="L12" s="9">
        <v>1327839.8</v>
      </c>
      <c r="M12" s="18" t="s">
        <v>45</v>
      </c>
      <c r="N12" s="18" t="s">
        <v>57</v>
      </c>
    </row>
    <row r="13" spans="1:14" ht="75" x14ac:dyDescent="0.25">
      <c r="A13" s="39" t="s">
        <v>39</v>
      </c>
      <c r="B13" s="37">
        <f>ROUND(193906074.82/1000,1)</f>
        <v>193906.1</v>
      </c>
      <c r="C13" s="38">
        <v>193906074.81999999</v>
      </c>
      <c r="D13" s="10"/>
      <c r="E13" s="31">
        <v>216348.12583</v>
      </c>
      <c r="F13" s="8">
        <v>187494.39999999999</v>
      </c>
      <c r="G13" s="18">
        <f>F13/B13</f>
        <v>0.96693399537198665</v>
      </c>
      <c r="H13" s="18">
        <f t="shared" si="0"/>
        <v>0.86663288290894458</v>
      </c>
      <c r="I13" s="22">
        <v>76153</v>
      </c>
      <c r="J13" s="20">
        <f t="shared" ref="J13:J18" si="5">I13/B13</f>
        <v>0.39273132717330705</v>
      </c>
      <c r="K13" s="20">
        <f t="shared" si="1"/>
        <v>0.35199288049224325</v>
      </c>
      <c r="L13" s="9">
        <v>76523</v>
      </c>
      <c r="M13" s="18">
        <f t="shared" ref="M13:M21" si="6">L13/B13</f>
        <v>0.39463946724729132</v>
      </c>
      <c r="N13" s="18">
        <f t="shared" si="2"/>
        <v>0.35370308712602172</v>
      </c>
    </row>
    <row r="14" spans="1:14" ht="30" x14ac:dyDescent="0.25">
      <c r="A14" s="17" t="s">
        <v>8</v>
      </c>
      <c r="B14" s="37">
        <f>ROUND(6110984796.03/1000,1)</f>
        <v>6110984.7999999998</v>
      </c>
      <c r="C14" s="38">
        <v>6110984796.0299997</v>
      </c>
      <c r="D14" s="10">
        <v>551</v>
      </c>
      <c r="E14" s="31">
        <v>8945942.4401799999</v>
      </c>
      <c r="F14" s="8">
        <v>5867716.5999999996</v>
      </c>
      <c r="G14" s="18">
        <f>F14/B14</f>
        <v>0.96019165356130487</v>
      </c>
      <c r="H14" s="18">
        <f t="shared" si="0"/>
        <v>0.65590815492458454</v>
      </c>
      <c r="I14" s="22">
        <v>6094445.7000000002</v>
      </c>
      <c r="J14" s="20">
        <f t="shared" si="5"/>
        <v>0.9972935458782356</v>
      </c>
      <c r="K14" s="20">
        <f t="shared" si="1"/>
        <v>0.68125250533999349</v>
      </c>
      <c r="L14" s="9">
        <v>6084884.7000000002</v>
      </c>
      <c r="M14" s="18">
        <f t="shared" si="6"/>
        <v>0.99572898626748352</v>
      </c>
      <c r="N14" s="18">
        <f t="shared" si="2"/>
        <v>0.68018375265530628</v>
      </c>
    </row>
    <row r="15" spans="1:14" ht="75" x14ac:dyDescent="0.25">
      <c r="A15" s="17" t="s">
        <v>2</v>
      </c>
      <c r="B15" s="37">
        <f>ROUND(691606714.58/1000,1)</f>
        <v>691606.7</v>
      </c>
      <c r="C15" s="38">
        <v>691606714.58000004</v>
      </c>
      <c r="D15" s="10">
        <v>9.8000000000000007</v>
      </c>
      <c r="E15" s="31">
        <v>976857.59896000021</v>
      </c>
      <c r="F15" s="8">
        <v>851892.6</v>
      </c>
      <c r="G15" s="18" t="s">
        <v>41</v>
      </c>
      <c r="H15" s="18">
        <f t="shared" si="0"/>
        <v>0.87207449776401114</v>
      </c>
      <c r="I15" s="22">
        <v>786886.8</v>
      </c>
      <c r="J15" s="20">
        <f t="shared" si="5"/>
        <v>1.137766305618497</v>
      </c>
      <c r="K15" s="20">
        <f t="shared" si="1"/>
        <v>0.80552866747185026</v>
      </c>
      <c r="L15" s="9">
        <v>134772.6</v>
      </c>
      <c r="M15" s="18">
        <f t="shared" si="6"/>
        <v>0.19486884670145621</v>
      </c>
      <c r="N15" s="18">
        <f t="shared" si="2"/>
        <v>0.13796545181558095</v>
      </c>
    </row>
    <row r="16" spans="1:14" ht="30" x14ac:dyDescent="0.25">
      <c r="A16" s="17" t="s">
        <v>3</v>
      </c>
      <c r="B16" s="37">
        <f>ROUND(222591721.66/1000,1)</f>
        <v>222591.7</v>
      </c>
      <c r="C16" s="38">
        <v>222591721.66</v>
      </c>
      <c r="D16" s="11">
        <v>14732.8</v>
      </c>
      <c r="E16" s="31">
        <v>222562.49903000001</v>
      </c>
      <c r="F16" s="8">
        <v>204222.4</v>
      </c>
      <c r="G16" s="18">
        <f>F16/B16</f>
        <v>0.91747535959337201</v>
      </c>
      <c r="H16" s="18">
        <f t="shared" si="0"/>
        <v>0.91759573553526697</v>
      </c>
      <c r="I16" s="22">
        <v>207292.9</v>
      </c>
      <c r="J16" s="20">
        <f t="shared" si="5"/>
        <v>0.93126967447573283</v>
      </c>
      <c r="K16" s="20">
        <f t="shared" si="1"/>
        <v>0.93139186027947252</v>
      </c>
      <c r="L16" s="9">
        <v>10086.799999999999</v>
      </c>
      <c r="M16" s="18">
        <f t="shared" si="6"/>
        <v>4.5315256588632905E-2</v>
      </c>
      <c r="N16" s="18">
        <f t="shared" si="2"/>
        <v>4.5321202107100542E-2</v>
      </c>
    </row>
    <row r="17" spans="1:14" ht="30" x14ac:dyDescent="0.25">
      <c r="A17" s="17" t="s">
        <v>5</v>
      </c>
      <c r="B17" s="37">
        <f>ROUND(133155588.03/1000,1)</f>
        <v>133155.6</v>
      </c>
      <c r="C17" s="38">
        <v>133155588.03</v>
      </c>
      <c r="D17" s="10">
        <v>10.6</v>
      </c>
      <c r="E17" s="31">
        <v>234915.05951000002</v>
      </c>
      <c r="F17" s="8">
        <v>451308.3</v>
      </c>
      <c r="G17" s="18" t="s">
        <v>40</v>
      </c>
      <c r="H17" s="18" t="s">
        <v>54</v>
      </c>
      <c r="I17" s="22">
        <v>91093.9</v>
      </c>
      <c r="J17" s="20">
        <f t="shared" si="5"/>
        <v>0.68411617686375936</v>
      </c>
      <c r="K17" s="20">
        <f t="shared" si="1"/>
        <v>0.38777377742410019</v>
      </c>
      <c r="L17" s="9">
        <v>43635.6</v>
      </c>
      <c r="M17" s="18">
        <f t="shared" si="6"/>
        <v>0.32770382920432933</v>
      </c>
      <c r="N17" s="18">
        <f t="shared" si="2"/>
        <v>0.18575054358378626</v>
      </c>
    </row>
    <row r="18" spans="1:14" ht="60" x14ac:dyDescent="0.25">
      <c r="A18" s="17" t="s">
        <v>10</v>
      </c>
      <c r="B18" s="37">
        <f>ROUND(4625956061.01/1000,1)</f>
        <v>4625956.0999999996</v>
      </c>
      <c r="C18" s="38">
        <v>4625956061.0100002</v>
      </c>
      <c r="D18" s="10"/>
      <c r="E18" s="31">
        <v>5650250.4482200006</v>
      </c>
      <c r="F18" s="8">
        <v>5969720.7000000002</v>
      </c>
      <c r="G18" s="18" t="s">
        <v>32</v>
      </c>
      <c r="H18" s="18">
        <f t="shared" si="0"/>
        <v>1.0565409010994622</v>
      </c>
      <c r="I18" s="22">
        <v>4143741</v>
      </c>
      <c r="J18" s="20">
        <f t="shared" si="5"/>
        <v>0.89575882486217284</v>
      </c>
      <c r="K18" s="20">
        <f t="shared" si="1"/>
        <v>0.73337297841468307</v>
      </c>
      <c r="L18" s="9">
        <v>4188641.8</v>
      </c>
      <c r="M18" s="18">
        <f t="shared" si="6"/>
        <v>0.90546509942020426</v>
      </c>
      <c r="N18" s="18">
        <f t="shared" si="2"/>
        <v>0.74131967040851232</v>
      </c>
    </row>
    <row r="19" spans="1:14" ht="60" x14ac:dyDescent="0.25">
      <c r="A19" s="17" t="s">
        <v>12</v>
      </c>
      <c r="B19" s="37">
        <f>ROUND(1430491835.13/1000,1)</f>
        <v>1430491.8</v>
      </c>
      <c r="C19" s="38">
        <v>1430491835.1300001</v>
      </c>
      <c r="D19" s="10">
        <v>0.1</v>
      </c>
      <c r="E19" s="31">
        <v>1530588.9974999987</v>
      </c>
      <c r="F19" s="8">
        <v>1545580.8</v>
      </c>
      <c r="G19" s="18">
        <f>F19/B19</f>
        <v>1.0804541487060604</v>
      </c>
      <c r="H19" s="18">
        <f t="shared" si="0"/>
        <v>1.0097947930662565</v>
      </c>
      <c r="I19" s="22">
        <v>1420251.9</v>
      </c>
      <c r="J19" s="20">
        <f t="shared" ref="J19:J20" si="7">I19/B19</f>
        <v>0.99284169262627009</v>
      </c>
      <c r="K19" s="20">
        <f t="shared" si="1"/>
        <v>0.92791200140585173</v>
      </c>
      <c r="L19" s="9">
        <v>1419910.2</v>
      </c>
      <c r="M19" s="18">
        <f t="shared" si="6"/>
        <v>0.9926028237281751</v>
      </c>
      <c r="N19" s="18">
        <f t="shared" si="2"/>
        <v>0.92768875401510342</v>
      </c>
    </row>
    <row r="20" spans="1:14" ht="45" x14ac:dyDescent="0.25">
      <c r="A20" s="17" t="s">
        <v>11</v>
      </c>
      <c r="B20" s="37">
        <f>ROUND(16850523.22/1000,1)</f>
        <v>16850.5</v>
      </c>
      <c r="C20" s="38">
        <v>16850523.219999999</v>
      </c>
      <c r="D20" s="11"/>
      <c r="E20" s="31">
        <v>25089.700049999999</v>
      </c>
      <c r="F20" s="8">
        <v>23642.7</v>
      </c>
      <c r="G20" s="18" t="s">
        <v>31</v>
      </c>
      <c r="H20" s="18">
        <f t="shared" si="0"/>
        <v>0.94232692909375781</v>
      </c>
      <c r="I20" s="22">
        <v>16903.7</v>
      </c>
      <c r="J20" s="20">
        <f t="shared" si="7"/>
        <v>1.0031571763449156</v>
      </c>
      <c r="K20" s="20">
        <f t="shared" si="1"/>
        <v>0.673730653069326</v>
      </c>
      <c r="L20" s="9">
        <v>16881.2</v>
      </c>
      <c r="M20" s="18">
        <f t="shared" si="6"/>
        <v>1.0018219043945285</v>
      </c>
      <c r="N20" s="18">
        <f t="shared" si="2"/>
        <v>0.67283387072616685</v>
      </c>
    </row>
    <row r="21" spans="1:14" ht="30" x14ac:dyDescent="0.25">
      <c r="A21" s="17" t="s">
        <v>4</v>
      </c>
      <c r="B21" s="37">
        <f>ROUND(385984372.14/1000,1)</f>
        <v>385984.4</v>
      </c>
      <c r="C21" s="38">
        <v>385984372.13999999</v>
      </c>
      <c r="D21" s="10">
        <v>3204.6</v>
      </c>
      <c r="E21" s="31">
        <v>971455.81385999999</v>
      </c>
      <c r="F21" s="8">
        <v>187163.2</v>
      </c>
      <c r="G21" s="18">
        <f>F21/B21</f>
        <v>0.48489835340495624</v>
      </c>
      <c r="H21" s="18">
        <f t="shared" si="0"/>
        <v>0.1926625970318942</v>
      </c>
      <c r="I21" s="22">
        <v>141186.29999999999</v>
      </c>
      <c r="J21" s="20">
        <f>I21/B21</f>
        <v>0.3657823994959381</v>
      </c>
      <c r="K21" s="20">
        <f t="shared" si="1"/>
        <v>0.14533476251380678</v>
      </c>
      <c r="L21" s="9">
        <v>120691.5</v>
      </c>
      <c r="M21" s="18">
        <f t="shared" si="6"/>
        <v>0.3126849167997463</v>
      </c>
      <c r="N21" s="18">
        <f t="shared" si="2"/>
        <v>0.12423776591592182</v>
      </c>
    </row>
    <row r="22" spans="1:14" ht="30" x14ac:dyDescent="0.25">
      <c r="A22" s="17" t="s">
        <v>7</v>
      </c>
      <c r="B22" s="37">
        <f>ROUND(379562240.38/1000,1)</f>
        <v>379562.2</v>
      </c>
      <c r="C22" s="38">
        <v>379562240.38</v>
      </c>
      <c r="D22" s="10">
        <v>280000</v>
      </c>
      <c r="E22" s="31">
        <v>909492.82348000002</v>
      </c>
      <c r="F22" s="8">
        <v>355177.1</v>
      </c>
      <c r="G22" s="18">
        <f>F22/B22</f>
        <v>0.93575466682404085</v>
      </c>
      <c r="H22" s="18">
        <f t="shared" si="0"/>
        <v>0.39052215787803896</v>
      </c>
      <c r="I22" s="22">
        <v>350471.2</v>
      </c>
      <c r="J22" s="20">
        <f>I22/B22</f>
        <v>0.92335643538792855</v>
      </c>
      <c r="K22" s="20">
        <f t="shared" si="1"/>
        <v>0.38534795542309958</v>
      </c>
      <c r="L22" s="9">
        <v>13394.5</v>
      </c>
      <c r="M22" s="18">
        <f t="shared" ref="M22:M27" si="8">L22/B22</f>
        <v>3.5289341246309565E-2</v>
      </c>
      <c r="N22" s="18">
        <f t="shared" si="2"/>
        <v>1.4727438913424861E-2</v>
      </c>
    </row>
    <row r="23" spans="1:14" ht="45" x14ac:dyDescent="0.25">
      <c r="A23" s="17" t="s">
        <v>24</v>
      </c>
      <c r="B23" s="37">
        <f>ROUND(496485814.62/1000,1)</f>
        <v>496485.8</v>
      </c>
      <c r="C23" s="38">
        <v>496485814.62</v>
      </c>
      <c r="D23" s="10">
        <v>282.89999999999998</v>
      </c>
      <c r="E23" s="31">
        <v>604079.20795999991</v>
      </c>
      <c r="F23" s="8">
        <v>354163.20000000001</v>
      </c>
      <c r="G23" s="18">
        <f>F23/B23</f>
        <v>0.71334003913102861</v>
      </c>
      <c r="H23" s="18">
        <f t="shared" si="0"/>
        <v>0.58628602893985304</v>
      </c>
      <c r="I23" s="22">
        <v>427404</v>
      </c>
      <c r="J23" s="20">
        <f>I23/B23</f>
        <v>0.86085845758327828</v>
      </c>
      <c r="K23" s="20">
        <f t="shared" si="1"/>
        <v>0.70752973181010603</v>
      </c>
      <c r="L23" s="9">
        <v>92006.5</v>
      </c>
      <c r="M23" s="18">
        <f t="shared" si="8"/>
        <v>0.18531547125819106</v>
      </c>
      <c r="N23" s="18">
        <f t="shared" si="2"/>
        <v>0.15230866877658261</v>
      </c>
    </row>
    <row r="24" spans="1:14" ht="45" x14ac:dyDescent="0.25">
      <c r="A24" s="17" t="s">
        <v>6</v>
      </c>
      <c r="B24" s="37">
        <f>ROUND(1146773405.03/1000,1)</f>
        <v>1146773.3999999999</v>
      </c>
      <c r="C24" s="38">
        <v>1146773405.03</v>
      </c>
      <c r="D24" s="10">
        <v>1313.1</v>
      </c>
      <c r="E24" s="31">
        <v>1094265.89255</v>
      </c>
      <c r="F24" s="8">
        <v>1172970.3999999999</v>
      </c>
      <c r="G24" s="18">
        <f>F24/B24</f>
        <v>1.0228440945700346</v>
      </c>
      <c r="H24" s="18">
        <f t="shared" si="0"/>
        <v>1.0719244819616853</v>
      </c>
      <c r="I24" s="22">
        <v>707996.5</v>
      </c>
      <c r="J24" s="20">
        <f>I24/B24</f>
        <v>0.61738134142281298</v>
      </c>
      <c r="K24" s="20">
        <f t="shared" si="1"/>
        <v>0.64700591037351529</v>
      </c>
      <c r="L24" s="9">
        <v>339390</v>
      </c>
      <c r="M24" s="18">
        <f t="shared" si="8"/>
        <v>0.29595210352803791</v>
      </c>
      <c r="N24" s="18">
        <f t="shared" si="2"/>
        <v>0.31015313765204677</v>
      </c>
    </row>
    <row r="25" spans="1:14" ht="30" x14ac:dyDescent="0.25">
      <c r="A25" s="17" t="s">
        <v>26</v>
      </c>
      <c r="B25" s="37">
        <f>ROUND(930749230.1/1000,1)</f>
        <v>930749.2</v>
      </c>
      <c r="C25" s="38">
        <v>930749230.10000002</v>
      </c>
      <c r="D25" s="10">
        <v>1890.9</v>
      </c>
      <c r="E25" s="31">
        <v>1179044.8888599998</v>
      </c>
      <c r="F25" s="8">
        <v>1060232</v>
      </c>
      <c r="G25" s="18">
        <f>F25/B25</f>
        <v>1.1391167459504665</v>
      </c>
      <c r="H25" s="18">
        <f t="shared" si="0"/>
        <v>0.8992295458955103</v>
      </c>
      <c r="I25" s="22">
        <v>674567.7</v>
      </c>
      <c r="J25" s="20">
        <f>I25/B25</f>
        <v>0.72475775429084444</v>
      </c>
      <c r="K25" s="20">
        <f t="shared" si="1"/>
        <v>0.57213063418834631</v>
      </c>
      <c r="L25" s="9">
        <v>588752.80000000005</v>
      </c>
      <c r="M25" s="18">
        <f t="shared" si="8"/>
        <v>0.63255794364367979</v>
      </c>
      <c r="N25" s="18">
        <f t="shared" si="2"/>
        <v>0.49934723059548308</v>
      </c>
    </row>
    <row r="26" spans="1:14" ht="45" x14ac:dyDescent="0.25">
      <c r="A26" s="7" t="s">
        <v>9</v>
      </c>
      <c r="B26" s="31"/>
      <c r="C26" s="31"/>
      <c r="D26" s="32"/>
      <c r="E26" s="31"/>
      <c r="F26" s="33"/>
      <c r="G26" s="19"/>
      <c r="H26" s="18"/>
      <c r="I26" s="34"/>
      <c r="J26" s="21"/>
      <c r="K26" s="20"/>
      <c r="L26" s="35"/>
      <c r="M26" s="19"/>
      <c r="N26" s="18"/>
    </row>
    <row r="27" spans="1:14" ht="42.75" x14ac:dyDescent="0.25">
      <c r="A27" s="12" t="s">
        <v>13</v>
      </c>
      <c r="B27" s="13">
        <f>ROUND(41125088501.59/1000,1)</f>
        <v>41125088.5</v>
      </c>
      <c r="C27" s="13">
        <f t="shared" ref="C27:E27" si="9">ROUND(41125088501.59/1000,1)</f>
        <v>41125088.5</v>
      </c>
      <c r="D27" s="13">
        <f t="shared" si="9"/>
        <v>41125088.5</v>
      </c>
      <c r="E27" s="13">
        <f>SUM(E6:E26)</f>
        <v>57447210.463830002</v>
      </c>
      <c r="F27" s="13">
        <f>F6+F7+F8+F9+F10+F11+F12+F13+F14+F15+F16+F17+F18+F19+F20+F21+F22+F23+F24+F25</f>
        <v>47518816.299999997</v>
      </c>
      <c r="G27" s="19">
        <f>F27/B27</f>
        <v>1.1554702502342336</v>
      </c>
      <c r="H27" s="19">
        <f t="shared" si="0"/>
        <v>0.82717360714875554</v>
      </c>
      <c r="I27" s="23">
        <f>SUM(I6:I26)</f>
        <v>39960965.500000007</v>
      </c>
      <c r="J27" s="21">
        <f>I27/B27</f>
        <v>0.97169311866648034</v>
      </c>
      <c r="K27" s="21">
        <f t="shared" si="1"/>
        <v>0.69561193968087087</v>
      </c>
      <c r="L27" s="14">
        <f>SUM(L6:L26)</f>
        <v>30991717.300000001</v>
      </c>
      <c r="M27" s="19">
        <f t="shared" si="8"/>
        <v>0.75359636733669277</v>
      </c>
      <c r="N27" s="19">
        <f t="shared" si="2"/>
        <v>0.53948167456299823</v>
      </c>
    </row>
    <row r="30" spans="1:14" x14ac:dyDescent="0.25">
      <c r="E30" s="4"/>
      <c r="L30" s="4"/>
    </row>
    <row r="32" spans="1:14" x14ac:dyDescent="0.25">
      <c r="L32" s="4"/>
    </row>
  </sheetData>
  <mergeCells count="15">
    <mergeCell ref="M3:M4"/>
    <mergeCell ref="N3:N4"/>
    <mergeCell ref="A1:N1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F3:F4"/>
    <mergeCell ref="E3:E4"/>
    <mergeCell ref="D3:D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2020-11-23T15:39:24Z</dcterms:modified>
</cp:coreProperties>
</file>