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сентябрь 2020 (2)" sheetId="1" r:id="rId1"/>
  </sheets>
  <definedNames>
    <definedName name="_xlnm.Print_Titles" localSheetId="0">'сентябрь 2020 (2)'!$B:$C,'сентябрь 2020 (2)'!$4:$9</definedName>
    <definedName name="_xlnm.Print_Area" localSheetId="0">'сентябрь 2020 (2)'!$B$1:$AD$176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6" i="1" l="1"/>
  <c r="Z176" i="1"/>
  <c r="Y176" i="1"/>
  <c r="AC176" i="1" s="1"/>
  <c r="X176" i="1"/>
  <c r="U176" i="1"/>
  <c r="T176" i="1"/>
  <c r="S176" i="1"/>
  <c r="R176" i="1"/>
  <c r="Q176" i="1"/>
  <c r="P176" i="1"/>
  <c r="O176" i="1"/>
  <c r="J176" i="1"/>
  <c r="I176" i="1"/>
  <c r="H176" i="1"/>
  <c r="G176" i="1"/>
  <c r="D176" i="1"/>
  <c r="AC175" i="1"/>
  <c r="AD175" i="1" s="1"/>
  <c r="AB175" i="1"/>
  <c r="V175" i="1"/>
  <c r="S175" i="1"/>
  <c r="N175" i="1"/>
  <c r="M175" i="1"/>
  <c r="L175" i="1"/>
  <c r="K175" i="1"/>
  <c r="J175" i="1"/>
  <c r="F175" i="1"/>
  <c r="AD174" i="1"/>
  <c r="AC174" i="1"/>
  <c r="AB174" i="1"/>
  <c r="V174" i="1"/>
  <c r="S174" i="1"/>
  <c r="L174" i="1"/>
  <c r="M174" i="1" s="1"/>
  <c r="N174" i="1" s="1"/>
  <c r="K174" i="1"/>
  <c r="J174" i="1"/>
  <c r="F174" i="1"/>
  <c r="AD173" i="1"/>
  <c r="AC173" i="1"/>
  <c r="AB173" i="1"/>
  <c r="V173" i="1"/>
  <c r="S173" i="1"/>
  <c r="L173" i="1"/>
  <c r="M173" i="1" s="1"/>
  <c r="N173" i="1" s="1"/>
  <c r="K173" i="1"/>
  <c r="K176" i="1" s="1"/>
  <c r="J173" i="1"/>
  <c r="F173" i="1"/>
  <c r="AC172" i="1"/>
  <c r="AD172" i="1" s="1"/>
  <c r="AB172" i="1"/>
  <c r="AB176" i="1" s="1"/>
  <c r="V172" i="1"/>
  <c r="V176" i="1" s="1"/>
  <c r="N172" i="1"/>
  <c r="M172" i="1"/>
  <c r="M176" i="1" s="1"/>
  <c r="J172" i="1"/>
  <c r="F172" i="1"/>
  <c r="AA171" i="1"/>
  <c r="Z171" i="1"/>
  <c r="Y171" i="1"/>
  <c r="AC171" i="1" s="1"/>
  <c r="X171" i="1"/>
  <c r="U171" i="1"/>
  <c r="T171" i="1"/>
  <c r="R171" i="1"/>
  <c r="Q171" i="1"/>
  <c r="P171" i="1"/>
  <c r="O171" i="1"/>
  <c r="L171" i="1"/>
  <c r="I171" i="1"/>
  <c r="H171" i="1"/>
  <c r="G171" i="1"/>
  <c r="D171" i="1"/>
  <c r="AD170" i="1"/>
  <c r="AC170" i="1"/>
  <c r="AB170" i="1"/>
  <c r="V170" i="1"/>
  <c r="S170" i="1"/>
  <c r="N170" i="1"/>
  <c r="M170" i="1"/>
  <c r="J170" i="1"/>
  <c r="F170" i="1"/>
  <c r="AD169" i="1"/>
  <c r="AC169" i="1"/>
  <c r="AB169" i="1"/>
  <c r="V169" i="1"/>
  <c r="S169" i="1"/>
  <c r="M169" i="1"/>
  <c r="N169" i="1" s="1"/>
  <c r="J169" i="1"/>
  <c r="F169" i="1"/>
  <c r="AC168" i="1"/>
  <c r="AD168" i="1" s="1"/>
  <c r="AB168" i="1"/>
  <c r="V168" i="1"/>
  <c r="S168" i="1"/>
  <c r="N168" i="1"/>
  <c r="M168" i="1"/>
  <c r="K168" i="1"/>
  <c r="K171" i="1" s="1"/>
  <c r="J168" i="1"/>
  <c r="F168" i="1"/>
  <c r="AC167" i="1"/>
  <c r="AD167" i="1" s="1"/>
  <c r="AB167" i="1"/>
  <c r="V167" i="1"/>
  <c r="S167" i="1"/>
  <c r="M167" i="1"/>
  <c r="J167" i="1"/>
  <c r="F167" i="1"/>
  <c r="N167" i="1" s="1"/>
  <c r="AD166" i="1"/>
  <c r="AC166" i="1"/>
  <c r="AB166" i="1"/>
  <c r="V166" i="1"/>
  <c r="V171" i="1" s="1"/>
  <c r="S166" i="1"/>
  <c r="M166" i="1"/>
  <c r="N166" i="1" s="1"/>
  <c r="J166" i="1"/>
  <c r="F166" i="1"/>
  <c r="AC165" i="1"/>
  <c r="AD165" i="1" s="1"/>
  <c r="AB165" i="1"/>
  <c r="V165" i="1"/>
  <c r="S165" i="1"/>
  <c r="S171" i="1" s="1"/>
  <c r="M165" i="1"/>
  <c r="M171" i="1" s="1"/>
  <c r="J165" i="1"/>
  <c r="J171" i="1" s="1"/>
  <c r="F165" i="1"/>
  <c r="AC164" i="1"/>
  <c r="AA164" i="1"/>
  <c r="Z164" i="1"/>
  <c r="Y164" i="1"/>
  <c r="X164" i="1"/>
  <c r="U164" i="1"/>
  <c r="T164" i="1"/>
  <c r="R164" i="1"/>
  <c r="Q164" i="1"/>
  <c r="P164" i="1"/>
  <c r="O164" i="1"/>
  <c r="L164" i="1"/>
  <c r="K164" i="1"/>
  <c r="I164" i="1"/>
  <c r="H164" i="1"/>
  <c r="G164" i="1"/>
  <c r="D164" i="1"/>
  <c r="AC163" i="1"/>
  <c r="AD163" i="1" s="1"/>
  <c r="AB163" i="1"/>
  <c r="V163" i="1"/>
  <c r="S163" i="1"/>
  <c r="N163" i="1"/>
  <c r="M163" i="1"/>
  <c r="F163" i="1"/>
  <c r="AC162" i="1"/>
  <c r="AD162" i="1" s="1"/>
  <c r="AB162" i="1"/>
  <c r="V162" i="1"/>
  <c r="S162" i="1"/>
  <c r="M162" i="1"/>
  <c r="J162" i="1"/>
  <c r="F162" i="1"/>
  <c r="N162" i="1" s="1"/>
  <c r="AD161" i="1"/>
  <c r="AC161" i="1"/>
  <c r="AB161" i="1"/>
  <c r="V161" i="1"/>
  <c r="S161" i="1"/>
  <c r="M161" i="1"/>
  <c r="N161" i="1" s="1"/>
  <c r="J161" i="1"/>
  <c r="F161" i="1"/>
  <c r="AC160" i="1"/>
  <c r="AD160" i="1" s="1"/>
  <c r="AB160" i="1"/>
  <c r="V160" i="1"/>
  <c r="S160" i="1"/>
  <c r="M160" i="1"/>
  <c r="N160" i="1" s="1"/>
  <c r="J160" i="1"/>
  <c r="F160" i="1"/>
  <c r="AD159" i="1"/>
  <c r="AC159" i="1"/>
  <c r="AB159" i="1"/>
  <c r="V159" i="1"/>
  <c r="S159" i="1"/>
  <c r="M159" i="1"/>
  <c r="N159" i="1" s="1"/>
  <c r="J159" i="1"/>
  <c r="F159" i="1"/>
  <c r="AD158" i="1"/>
  <c r="AC158" i="1"/>
  <c r="AB158" i="1"/>
  <c r="V158" i="1"/>
  <c r="S158" i="1"/>
  <c r="N158" i="1"/>
  <c r="M158" i="1"/>
  <c r="J158" i="1"/>
  <c r="J164" i="1" s="1"/>
  <c r="F158" i="1"/>
  <c r="AD157" i="1"/>
  <c r="AC157" i="1"/>
  <c r="AB157" i="1"/>
  <c r="V157" i="1"/>
  <c r="S157" i="1"/>
  <c r="S164" i="1" s="1"/>
  <c r="M157" i="1"/>
  <c r="N157" i="1" s="1"/>
  <c r="J157" i="1"/>
  <c r="F157" i="1"/>
  <c r="AC156" i="1"/>
  <c r="AD156" i="1" s="1"/>
  <c r="AB156" i="1"/>
  <c r="V156" i="1"/>
  <c r="V164" i="1" s="1"/>
  <c r="S156" i="1"/>
  <c r="N156" i="1"/>
  <c r="M156" i="1"/>
  <c r="M164" i="1" s="1"/>
  <c r="J156" i="1"/>
  <c r="F156" i="1"/>
  <c r="AA155" i="1"/>
  <c r="Z155" i="1"/>
  <c r="Y155" i="1"/>
  <c r="AC155" i="1" s="1"/>
  <c r="X155" i="1"/>
  <c r="U155" i="1"/>
  <c r="T155" i="1"/>
  <c r="R155" i="1"/>
  <c r="Q155" i="1"/>
  <c r="P155" i="1"/>
  <c r="O155" i="1"/>
  <c r="L155" i="1"/>
  <c r="I155" i="1"/>
  <c r="H155" i="1"/>
  <c r="G155" i="1"/>
  <c r="D155" i="1"/>
  <c r="AD154" i="1"/>
  <c r="AC154" i="1"/>
  <c r="AB154" i="1"/>
  <c r="V154" i="1"/>
  <c r="S154" i="1"/>
  <c r="N154" i="1"/>
  <c r="M154" i="1"/>
  <c r="J154" i="1"/>
  <c r="F154" i="1"/>
  <c r="AD153" i="1"/>
  <c r="AC153" i="1"/>
  <c r="AB153" i="1"/>
  <c r="V153" i="1"/>
  <c r="S153" i="1"/>
  <c r="M153" i="1"/>
  <c r="N153" i="1" s="1"/>
  <c r="J153" i="1"/>
  <c r="AD152" i="1"/>
  <c r="AC152" i="1"/>
  <c r="AB152" i="1"/>
  <c r="V152" i="1"/>
  <c r="S152" i="1"/>
  <c r="M152" i="1"/>
  <c r="N152" i="1" s="1"/>
  <c r="J152" i="1"/>
  <c r="F152" i="1"/>
  <c r="AC151" i="1"/>
  <c r="AD151" i="1" s="1"/>
  <c r="AB151" i="1"/>
  <c r="V151" i="1"/>
  <c r="S151" i="1"/>
  <c r="N151" i="1"/>
  <c r="M151" i="1"/>
  <c r="M155" i="1" s="1"/>
  <c r="J151" i="1"/>
  <c r="F151" i="1"/>
  <c r="AC150" i="1"/>
  <c r="AD150" i="1" s="1"/>
  <c r="AB150" i="1"/>
  <c r="V150" i="1"/>
  <c r="S150" i="1"/>
  <c r="N150" i="1"/>
  <c r="M150" i="1"/>
  <c r="J150" i="1"/>
  <c r="F150" i="1"/>
  <c r="AC149" i="1"/>
  <c r="AD149" i="1" s="1"/>
  <c r="AB149" i="1"/>
  <c r="V149" i="1"/>
  <c r="V155" i="1" s="1"/>
  <c r="S149" i="1"/>
  <c r="S155" i="1" s="1"/>
  <c r="M149" i="1"/>
  <c r="K149" i="1"/>
  <c r="K155" i="1" s="1"/>
  <c r="J149" i="1"/>
  <c r="J155" i="1" s="1"/>
  <c r="F149" i="1"/>
  <c r="N149" i="1" s="1"/>
  <c r="AA148" i="1"/>
  <c r="AC148" i="1" s="1"/>
  <c r="Z148" i="1"/>
  <c r="Y148" i="1"/>
  <c r="X148" i="1"/>
  <c r="U148" i="1"/>
  <c r="T148" i="1"/>
  <c r="R148" i="1"/>
  <c r="Q148" i="1"/>
  <c r="P148" i="1"/>
  <c r="O148" i="1"/>
  <c r="L148" i="1"/>
  <c r="I148" i="1"/>
  <c r="H148" i="1"/>
  <c r="G148" i="1"/>
  <c r="D148" i="1"/>
  <c r="AD147" i="1"/>
  <c r="AC147" i="1"/>
  <c r="AB147" i="1"/>
  <c r="V147" i="1"/>
  <c r="S147" i="1"/>
  <c r="N147" i="1"/>
  <c r="M147" i="1"/>
  <c r="J147" i="1"/>
  <c r="F147" i="1"/>
  <c r="AC146" i="1"/>
  <c r="AD146" i="1" s="1"/>
  <c r="AB146" i="1"/>
  <c r="V146" i="1"/>
  <c r="S146" i="1"/>
  <c r="N146" i="1"/>
  <c r="M146" i="1"/>
  <c r="J146" i="1"/>
  <c r="F146" i="1"/>
  <c r="AC145" i="1"/>
  <c r="AD145" i="1" s="1"/>
  <c r="AB145" i="1"/>
  <c r="V145" i="1"/>
  <c r="S145" i="1"/>
  <c r="M145" i="1"/>
  <c r="J145" i="1"/>
  <c r="F145" i="1"/>
  <c r="N145" i="1" s="1"/>
  <c r="AD144" i="1"/>
  <c r="AC144" i="1"/>
  <c r="AB144" i="1"/>
  <c r="V144" i="1"/>
  <c r="S144" i="1"/>
  <c r="S148" i="1" s="1"/>
  <c r="M144" i="1"/>
  <c r="J144" i="1"/>
  <c r="F144" i="1"/>
  <c r="N144" i="1" s="1"/>
  <c r="AC143" i="1"/>
  <c r="AD143" i="1" s="1"/>
  <c r="AB143" i="1"/>
  <c r="V143" i="1"/>
  <c r="V148" i="1" s="1"/>
  <c r="S143" i="1"/>
  <c r="M143" i="1"/>
  <c r="M148" i="1" s="1"/>
  <c r="J143" i="1"/>
  <c r="J148" i="1" s="1"/>
  <c r="F143" i="1"/>
  <c r="AC141" i="1"/>
  <c r="AA141" i="1"/>
  <c r="Z141" i="1"/>
  <c r="Y141" i="1"/>
  <c r="X141" i="1"/>
  <c r="U141" i="1"/>
  <c r="T141" i="1"/>
  <c r="S141" i="1"/>
  <c r="R141" i="1"/>
  <c r="Q141" i="1"/>
  <c r="P141" i="1"/>
  <c r="O141" i="1"/>
  <c r="L141" i="1"/>
  <c r="J141" i="1"/>
  <c r="I141" i="1"/>
  <c r="H141" i="1"/>
  <c r="G141" i="1"/>
  <c r="D141" i="1"/>
  <c r="AC140" i="1"/>
  <c r="AD140" i="1" s="1"/>
  <c r="AB140" i="1"/>
  <c r="V140" i="1"/>
  <c r="S140" i="1"/>
  <c r="M140" i="1"/>
  <c r="K140" i="1"/>
  <c r="J140" i="1"/>
  <c r="F140" i="1"/>
  <c r="N140" i="1" s="1"/>
  <c r="AC139" i="1"/>
  <c r="AD139" i="1" s="1"/>
  <c r="AB139" i="1"/>
  <c r="V139" i="1"/>
  <c r="S139" i="1"/>
  <c r="M139" i="1"/>
  <c r="N139" i="1" s="1"/>
  <c r="K139" i="1"/>
  <c r="J139" i="1"/>
  <c r="F139" i="1"/>
  <c r="AD138" i="1"/>
  <c r="AC138" i="1"/>
  <c r="AB138" i="1"/>
  <c r="V138" i="1"/>
  <c r="S138" i="1"/>
  <c r="N138" i="1"/>
  <c r="M138" i="1"/>
  <c r="K138" i="1"/>
  <c r="K141" i="1" s="1"/>
  <c r="J138" i="1"/>
  <c r="F138" i="1"/>
  <c r="AD137" i="1"/>
  <c r="AC137" i="1"/>
  <c r="AB137" i="1"/>
  <c r="V137" i="1"/>
  <c r="V141" i="1" s="1"/>
  <c r="S137" i="1"/>
  <c r="N137" i="1"/>
  <c r="M137" i="1"/>
  <c r="M141" i="1" s="1"/>
  <c r="J137" i="1"/>
  <c r="F137" i="1"/>
  <c r="AA136" i="1"/>
  <c r="Z136" i="1"/>
  <c r="Y136" i="1"/>
  <c r="AC136" i="1" s="1"/>
  <c r="X136" i="1"/>
  <c r="U136" i="1"/>
  <c r="T136" i="1"/>
  <c r="R136" i="1"/>
  <c r="Q136" i="1"/>
  <c r="P136" i="1"/>
  <c r="O136" i="1"/>
  <c r="L136" i="1"/>
  <c r="I136" i="1"/>
  <c r="H136" i="1"/>
  <c r="G136" i="1"/>
  <c r="D136" i="1"/>
  <c r="AD135" i="1"/>
  <c r="AC135" i="1"/>
  <c r="AB135" i="1"/>
  <c r="V135" i="1"/>
  <c r="S135" i="1"/>
  <c r="N135" i="1"/>
  <c r="M135" i="1"/>
  <c r="K135" i="1"/>
  <c r="J135" i="1"/>
  <c r="F135" i="1"/>
  <c r="AD134" i="1"/>
  <c r="AC134" i="1"/>
  <c r="AB134" i="1"/>
  <c r="V134" i="1"/>
  <c r="S134" i="1"/>
  <c r="N134" i="1"/>
  <c r="M134" i="1"/>
  <c r="M136" i="1" s="1"/>
  <c r="K134" i="1"/>
  <c r="J134" i="1"/>
  <c r="F134" i="1"/>
  <c r="AC133" i="1"/>
  <c r="AD133" i="1" s="1"/>
  <c r="AB133" i="1"/>
  <c r="V133" i="1"/>
  <c r="S133" i="1"/>
  <c r="M133" i="1"/>
  <c r="K133" i="1"/>
  <c r="J133" i="1"/>
  <c r="J136" i="1" s="1"/>
  <c r="F133" i="1"/>
  <c r="N133" i="1" s="1"/>
  <c r="AC132" i="1"/>
  <c r="AD132" i="1" s="1"/>
  <c r="AB132" i="1"/>
  <c r="V132" i="1"/>
  <c r="V136" i="1" s="1"/>
  <c r="S132" i="1"/>
  <c r="S136" i="1" s="1"/>
  <c r="M132" i="1"/>
  <c r="N132" i="1" s="1"/>
  <c r="K132" i="1"/>
  <c r="K136" i="1" s="1"/>
  <c r="F132" i="1"/>
  <c r="N131" i="1"/>
  <c r="M131" i="1"/>
  <c r="AA130" i="1"/>
  <c r="Z130" i="1"/>
  <c r="Y130" i="1"/>
  <c r="X130" i="1"/>
  <c r="V130" i="1"/>
  <c r="U130" i="1"/>
  <c r="T130" i="1"/>
  <c r="R130" i="1"/>
  <c r="Q130" i="1"/>
  <c r="P130" i="1"/>
  <c r="O130" i="1"/>
  <c r="L130" i="1"/>
  <c r="K130" i="1"/>
  <c r="I130" i="1"/>
  <c r="H130" i="1"/>
  <c r="G130" i="1"/>
  <c r="D130" i="1"/>
  <c r="AC129" i="1"/>
  <c r="AB129" i="1"/>
  <c r="V129" i="1"/>
  <c r="S129" i="1"/>
  <c r="M129" i="1"/>
  <c r="K129" i="1"/>
  <c r="J129" i="1"/>
  <c r="F129" i="1"/>
  <c r="N129" i="1" s="1"/>
  <c r="AD128" i="1"/>
  <c r="AB128" i="1"/>
  <c r="V128" i="1"/>
  <c r="S128" i="1"/>
  <c r="S130" i="1" s="1"/>
  <c r="M128" i="1"/>
  <c r="N128" i="1" s="1"/>
  <c r="K128" i="1"/>
  <c r="J128" i="1"/>
  <c r="F128" i="1"/>
  <c r="AD127" i="1"/>
  <c r="AC127" i="1"/>
  <c r="AB127" i="1"/>
  <c r="V127" i="1"/>
  <c r="S127" i="1"/>
  <c r="M127" i="1"/>
  <c r="N127" i="1" s="1"/>
  <c r="K127" i="1"/>
  <c r="J127" i="1"/>
  <c r="F127" i="1"/>
  <c r="AD126" i="1"/>
  <c r="V126" i="1"/>
  <c r="S126" i="1"/>
  <c r="M126" i="1"/>
  <c r="N126" i="1" s="1"/>
  <c r="K126" i="1"/>
  <c r="J126" i="1"/>
  <c r="J130" i="1" s="1"/>
  <c r="F126" i="1"/>
  <c r="AC125" i="1"/>
  <c r="AA125" i="1"/>
  <c r="Z125" i="1"/>
  <c r="Y125" i="1"/>
  <c r="X125" i="1"/>
  <c r="U125" i="1"/>
  <c r="T125" i="1"/>
  <c r="R125" i="1"/>
  <c r="Q125" i="1"/>
  <c r="P125" i="1"/>
  <c r="O125" i="1"/>
  <c r="L125" i="1"/>
  <c r="K125" i="1"/>
  <c r="I125" i="1"/>
  <c r="H125" i="1"/>
  <c r="G125" i="1"/>
  <c r="D125" i="1"/>
  <c r="AC124" i="1"/>
  <c r="AD124" i="1" s="1"/>
  <c r="AB124" i="1"/>
  <c r="V124" i="1"/>
  <c r="S124" i="1"/>
  <c r="M124" i="1"/>
  <c r="N124" i="1" s="1"/>
  <c r="J124" i="1"/>
  <c r="F124" i="1"/>
  <c r="AD123" i="1"/>
  <c r="AC123" i="1"/>
  <c r="AB123" i="1"/>
  <c r="V123" i="1"/>
  <c r="S123" i="1"/>
  <c r="M123" i="1"/>
  <c r="N123" i="1" s="1"/>
  <c r="K123" i="1"/>
  <c r="F123" i="1"/>
  <c r="AD122" i="1"/>
  <c r="AC122" i="1"/>
  <c r="AB122" i="1"/>
  <c r="V122" i="1"/>
  <c r="V125" i="1" s="1"/>
  <c r="S122" i="1"/>
  <c r="S125" i="1" s="1"/>
  <c r="N122" i="1"/>
  <c r="M122" i="1"/>
  <c r="M125" i="1" s="1"/>
  <c r="J122" i="1"/>
  <c r="J125" i="1" s="1"/>
  <c r="F122" i="1"/>
  <c r="AC121" i="1"/>
  <c r="AA121" i="1"/>
  <c r="Z121" i="1"/>
  <c r="Y121" i="1"/>
  <c r="X121" i="1"/>
  <c r="U121" i="1"/>
  <c r="T121" i="1"/>
  <c r="R121" i="1"/>
  <c r="Q121" i="1"/>
  <c r="P121" i="1"/>
  <c r="O121" i="1"/>
  <c r="L121" i="1"/>
  <c r="I121" i="1"/>
  <c r="H121" i="1"/>
  <c r="G121" i="1"/>
  <c r="D121" i="1"/>
  <c r="AD120" i="1"/>
  <c r="AC120" i="1"/>
  <c r="AB120" i="1"/>
  <c r="V120" i="1"/>
  <c r="S120" i="1"/>
  <c r="M120" i="1"/>
  <c r="N120" i="1" s="1"/>
  <c r="J120" i="1"/>
  <c r="F120" i="1"/>
  <c r="AC119" i="1"/>
  <c r="AD119" i="1" s="1"/>
  <c r="AB119" i="1"/>
  <c r="V119" i="1"/>
  <c r="S119" i="1"/>
  <c r="M119" i="1"/>
  <c r="N119" i="1" s="1"/>
  <c r="J119" i="1"/>
  <c r="F119" i="1"/>
  <c r="AD118" i="1"/>
  <c r="AC118" i="1"/>
  <c r="AB118" i="1"/>
  <c r="V118" i="1"/>
  <c r="S118" i="1"/>
  <c r="M118" i="1"/>
  <c r="N118" i="1" s="1"/>
  <c r="J118" i="1"/>
  <c r="F118" i="1"/>
  <c r="AD117" i="1"/>
  <c r="AC117" i="1"/>
  <c r="AB117" i="1"/>
  <c r="V117" i="1"/>
  <c r="V121" i="1" s="1"/>
  <c r="S117" i="1"/>
  <c r="S121" i="1" s="1"/>
  <c r="N117" i="1"/>
  <c r="M117" i="1"/>
  <c r="M121" i="1" s="1"/>
  <c r="J117" i="1"/>
  <c r="J121" i="1" s="1"/>
  <c r="F117" i="1"/>
  <c r="AC116" i="1"/>
  <c r="Z116" i="1"/>
  <c r="Y116" i="1"/>
  <c r="X116" i="1"/>
  <c r="U116" i="1"/>
  <c r="T116" i="1"/>
  <c r="Q116" i="1"/>
  <c r="P116" i="1"/>
  <c r="O116" i="1"/>
  <c r="L116" i="1"/>
  <c r="K116" i="1"/>
  <c r="I116" i="1"/>
  <c r="H116" i="1"/>
  <c r="G116" i="1"/>
  <c r="D116" i="1"/>
  <c r="AC115" i="1"/>
  <c r="AD115" i="1" s="1"/>
  <c r="AB115" i="1"/>
  <c r="V115" i="1"/>
  <c r="S115" i="1"/>
  <c r="N115" i="1"/>
  <c r="M115" i="1"/>
  <c r="K115" i="1"/>
  <c r="J115" i="1"/>
  <c r="F115" i="1"/>
  <c r="AD114" i="1"/>
  <c r="AC114" i="1"/>
  <c r="AB114" i="1"/>
  <c r="V114" i="1"/>
  <c r="S114" i="1"/>
  <c r="N114" i="1"/>
  <c r="M114" i="1"/>
  <c r="K114" i="1"/>
  <c r="J114" i="1"/>
  <c r="F114" i="1"/>
  <c r="AD113" i="1"/>
  <c r="AC113" i="1"/>
  <c r="AB113" i="1"/>
  <c r="V113" i="1"/>
  <c r="S113" i="1"/>
  <c r="M113" i="1"/>
  <c r="N113" i="1" s="1"/>
  <c r="K113" i="1"/>
  <c r="J113" i="1"/>
  <c r="F113" i="1"/>
  <c r="AD112" i="1"/>
  <c r="AC112" i="1"/>
  <c r="AB112" i="1"/>
  <c r="V112" i="1"/>
  <c r="S112" i="1"/>
  <c r="M112" i="1"/>
  <c r="N112" i="1" s="1"/>
  <c r="K112" i="1"/>
  <c r="J112" i="1"/>
  <c r="J116" i="1" s="1"/>
  <c r="F112" i="1"/>
  <c r="AC111" i="1"/>
  <c r="AD111" i="1" s="1"/>
  <c r="V111" i="1"/>
  <c r="V116" i="1" s="1"/>
  <c r="AA110" i="1"/>
  <c r="Z110" i="1"/>
  <c r="Y110" i="1"/>
  <c r="AC110" i="1" s="1"/>
  <c r="X110" i="1"/>
  <c r="U110" i="1"/>
  <c r="S110" i="1"/>
  <c r="R110" i="1"/>
  <c r="Q110" i="1"/>
  <c r="P110" i="1"/>
  <c r="O110" i="1"/>
  <c r="L110" i="1"/>
  <c r="K110" i="1"/>
  <c r="J110" i="1"/>
  <c r="I110" i="1"/>
  <c r="H110" i="1"/>
  <c r="G110" i="1"/>
  <c r="D110" i="1"/>
  <c r="AD109" i="1"/>
  <c r="AC109" i="1"/>
  <c r="AB109" i="1"/>
  <c r="V109" i="1"/>
  <c r="S109" i="1"/>
  <c r="N109" i="1"/>
  <c r="M109" i="1"/>
  <c r="J109" i="1"/>
  <c r="F109" i="1"/>
  <c r="AC108" i="1"/>
  <c r="AD108" i="1" s="1"/>
  <c r="AB108" i="1"/>
  <c r="V108" i="1"/>
  <c r="S108" i="1"/>
  <c r="N108" i="1"/>
  <c r="M108" i="1"/>
  <c r="J108" i="1"/>
  <c r="F108" i="1"/>
  <c r="AC107" i="1"/>
  <c r="AD107" i="1" s="1"/>
  <c r="AB107" i="1"/>
  <c r="V107" i="1"/>
  <c r="S107" i="1"/>
  <c r="N107" i="1"/>
  <c r="M107" i="1"/>
  <c r="J107" i="1"/>
  <c r="F107" i="1"/>
  <c r="AD106" i="1"/>
  <c r="AC106" i="1"/>
  <c r="AB106" i="1"/>
  <c r="V106" i="1"/>
  <c r="S106" i="1"/>
  <c r="M106" i="1"/>
  <c r="F106" i="1"/>
  <c r="N106" i="1" s="1"/>
  <c r="AD105" i="1"/>
  <c r="AC105" i="1"/>
  <c r="AB105" i="1"/>
  <c r="V105" i="1"/>
  <c r="V110" i="1" s="1"/>
  <c r="N105" i="1"/>
  <c r="M105" i="1"/>
  <c r="M110" i="1" s="1"/>
  <c r="F105" i="1"/>
  <c r="AA104" i="1"/>
  <c r="Z104" i="1"/>
  <c r="Y104" i="1"/>
  <c r="AC104" i="1" s="1"/>
  <c r="X104" i="1"/>
  <c r="U104" i="1"/>
  <c r="T104" i="1"/>
  <c r="R104" i="1"/>
  <c r="Q104" i="1"/>
  <c r="P104" i="1"/>
  <c r="O104" i="1"/>
  <c r="L104" i="1"/>
  <c r="I104" i="1"/>
  <c r="H104" i="1"/>
  <c r="G104" i="1"/>
  <c r="D104" i="1"/>
  <c r="AD103" i="1"/>
  <c r="AC103" i="1"/>
  <c r="AB103" i="1"/>
  <c r="V103" i="1"/>
  <c r="S103" i="1"/>
  <c r="R103" i="1"/>
  <c r="N103" i="1"/>
  <c r="M103" i="1"/>
  <c r="K103" i="1"/>
  <c r="J103" i="1"/>
  <c r="F103" i="1"/>
  <c r="AC102" i="1"/>
  <c r="AD102" i="1" s="1"/>
  <c r="AB102" i="1"/>
  <c r="V102" i="1"/>
  <c r="S102" i="1"/>
  <c r="R102" i="1"/>
  <c r="M102" i="1"/>
  <c r="K102" i="1"/>
  <c r="J102" i="1"/>
  <c r="F102" i="1"/>
  <c r="N102" i="1" s="1"/>
  <c r="AD101" i="1"/>
  <c r="AC101" i="1"/>
  <c r="AB101" i="1"/>
  <c r="V101" i="1"/>
  <c r="R101" i="1"/>
  <c r="S101" i="1" s="1"/>
  <c r="N101" i="1"/>
  <c r="M101" i="1"/>
  <c r="K101" i="1"/>
  <c r="J101" i="1"/>
  <c r="F101" i="1"/>
  <c r="AD100" i="1"/>
  <c r="AC100" i="1"/>
  <c r="AB100" i="1"/>
  <c r="V100" i="1"/>
  <c r="R100" i="1"/>
  <c r="S100" i="1" s="1"/>
  <c r="N100" i="1"/>
  <c r="M100" i="1"/>
  <c r="M104" i="1" s="1"/>
  <c r="K100" i="1"/>
  <c r="J100" i="1"/>
  <c r="F100" i="1"/>
  <c r="AD99" i="1"/>
  <c r="AC99" i="1"/>
  <c r="AB99" i="1"/>
  <c r="V99" i="1"/>
  <c r="V104" i="1" s="1"/>
  <c r="S99" i="1"/>
  <c r="R99" i="1"/>
  <c r="M99" i="1"/>
  <c r="N99" i="1" s="1"/>
  <c r="K99" i="1"/>
  <c r="K104" i="1" s="1"/>
  <c r="J99" i="1"/>
  <c r="J104" i="1" s="1"/>
  <c r="F99" i="1"/>
  <c r="AC98" i="1"/>
  <c r="AA98" i="1"/>
  <c r="Z98" i="1"/>
  <c r="Y98" i="1"/>
  <c r="X98" i="1"/>
  <c r="V98" i="1"/>
  <c r="U98" i="1"/>
  <c r="T98" i="1"/>
  <c r="R98" i="1"/>
  <c r="Q98" i="1"/>
  <c r="P98" i="1"/>
  <c r="O98" i="1"/>
  <c r="I98" i="1"/>
  <c r="H98" i="1"/>
  <c r="G98" i="1"/>
  <c r="D98" i="1"/>
  <c r="AD97" i="1"/>
  <c r="AC97" i="1"/>
  <c r="AB97" i="1"/>
  <c r="V97" i="1"/>
  <c r="S97" i="1"/>
  <c r="L97" i="1"/>
  <c r="M97" i="1" s="1"/>
  <c r="N97" i="1" s="1"/>
  <c r="K97" i="1"/>
  <c r="K98" i="1" s="1"/>
  <c r="J97" i="1"/>
  <c r="F97" i="1"/>
  <c r="AD96" i="1"/>
  <c r="AC96" i="1"/>
  <c r="AB96" i="1"/>
  <c r="V96" i="1"/>
  <c r="S96" i="1"/>
  <c r="L96" i="1"/>
  <c r="M96" i="1" s="1"/>
  <c r="N96" i="1" s="1"/>
  <c r="K96" i="1"/>
  <c r="J96" i="1"/>
  <c r="F96" i="1"/>
  <c r="AC95" i="1"/>
  <c r="AD95" i="1" s="1"/>
  <c r="AB95" i="1"/>
  <c r="V95" i="1"/>
  <c r="S95" i="1"/>
  <c r="M95" i="1"/>
  <c r="L95" i="1"/>
  <c r="K95" i="1"/>
  <c r="J95" i="1"/>
  <c r="F95" i="1"/>
  <c r="N95" i="1" s="1"/>
  <c r="AC94" i="1"/>
  <c r="AD94" i="1" s="1"/>
  <c r="AB94" i="1"/>
  <c r="V94" i="1"/>
  <c r="S94" i="1"/>
  <c r="L94" i="1"/>
  <c r="M94" i="1" s="1"/>
  <c r="K94" i="1"/>
  <c r="J94" i="1"/>
  <c r="J98" i="1" s="1"/>
  <c r="F94" i="1"/>
  <c r="AD93" i="1"/>
  <c r="AC93" i="1"/>
  <c r="AB93" i="1"/>
  <c r="V93" i="1"/>
  <c r="S93" i="1"/>
  <c r="M93" i="1"/>
  <c r="N93" i="1" s="1"/>
  <c r="L93" i="1"/>
  <c r="L98" i="1" s="1"/>
  <c r="K93" i="1"/>
  <c r="J93" i="1"/>
  <c r="F93" i="1"/>
  <c r="AC92" i="1"/>
  <c r="AD92" i="1" s="1"/>
  <c r="AB92" i="1"/>
  <c r="V92" i="1"/>
  <c r="S92" i="1"/>
  <c r="S98" i="1" s="1"/>
  <c r="M92" i="1"/>
  <c r="K92" i="1"/>
  <c r="J92" i="1"/>
  <c r="F92" i="1"/>
  <c r="N92" i="1" s="1"/>
  <c r="AA91" i="1"/>
  <c r="Z91" i="1"/>
  <c r="Y91" i="1"/>
  <c r="AC91" i="1" s="1"/>
  <c r="X91" i="1"/>
  <c r="U91" i="1"/>
  <c r="T91" i="1"/>
  <c r="R91" i="1"/>
  <c r="Q91" i="1"/>
  <c r="P91" i="1"/>
  <c r="O91" i="1"/>
  <c r="L91" i="1"/>
  <c r="K91" i="1"/>
  <c r="I91" i="1"/>
  <c r="H91" i="1"/>
  <c r="G91" i="1"/>
  <c r="D91" i="1"/>
  <c r="AC90" i="1"/>
  <c r="AD90" i="1" s="1"/>
  <c r="AB90" i="1"/>
  <c r="V90" i="1"/>
  <c r="S90" i="1"/>
  <c r="N90" i="1"/>
  <c r="M90" i="1"/>
  <c r="K90" i="1"/>
  <c r="J90" i="1"/>
  <c r="F90" i="1"/>
  <c r="AD89" i="1"/>
  <c r="AC89" i="1"/>
  <c r="AB89" i="1"/>
  <c r="V89" i="1"/>
  <c r="S89" i="1"/>
  <c r="N89" i="1"/>
  <c r="M89" i="1"/>
  <c r="K89" i="1"/>
  <c r="J89" i="1"/>
  <c r="F89" i="1"/>
  <c r="AD88" i="1"/>
  <c r="AC88" i="1"/>
  <c r="AB88" i="1"/>
  <c r="V88" i="1"/>
  <c r="S88" i="1"/>
  <c r="M88" i="1"/>
  <c r="N88" i="1" s="1"/>
  <c r="K88" i="1"/>
  <c r="J88" i="1"/>
  <c r="F88" i="1"/>
  <c r="AD87" i="1"/>
  <c r="AC87" i="1"/>
  <c r="AB87" i="1"/>
  <c r="Z87" i="1"/>
  <c r="V87" i="1"/>
  <c r="S87" i="1"/>
  <c r="N87" i="1"/>
  <c r="M87" i="1"/>
  <c r="K87" i="1"/>
  <c r="J87" i="1"/>
  <c r="F87" i="1"/>
  <c r="AC86" i="1"/>
  <c r="AB86" i="1"/>
  <c r="V86" i="1"/>
  <c r="V91" i="1" s="1"/>
  <c r="S86" i="1"/>
  <c r="S91" i="1" s="1"/>
  <c r="N86" i="1"/>
  <c r="M86" i="1"/>
  <c r="M91" i="1" s="1"/>
  <c r="J86" i="1"/>
  <c r="J91" i="1" s="1"/>
  <c r="F86" i="1"/>
  <c r="AA85" i="1"/>
  <c r="Y85" i="1"/>
  <c r="AC85" i="1" s="1"/>
  <c r="X85" i="1"/>
  <c r="U85" i="1"/>
  <c r="T85" i="1"/>
  <c r="Q85" i="1"/>
  <c r="P85" i="1"/>
  <c r="O85" i="1"/>
  <c r="I85" i="1"/>
  <c r="H85" i="1"/>
  <c r="G85" i="1"/>
  <c r="D85" i="1"/>
  <c r="AD84" i="1"/>
  <c r="AC84" i="1"/>
  <c r="AA84" i="1"/>
  <c r="AB84" i="1" s="1"/>
  <c r="Z84" i="1"/>
  <c r="V84" i="1"/>
  <c r="S84" i="1"/>
  <c r="R84" i="1"/>
  <c r="N84" i="1"/>
  <c r="M84" i="1"/>
  <c r="L84" i="1"/>
  <c r="K84" i="1"/>
  <c r="J84" i="1"/>
  <c r="F84" i="1"/>
  <c r="AD83" i="1"/>
  <c r="AC83" i="1"/>
  <c r="AB83" i="1"/>
  <c r="AA83" i="1"/>
  <c r="Z83" i="1"/>
  <c r="Y83" i="1"/>
  <c r="V83" i="1"/>
  <c r="R83" i="1"/>
  <c r="S83" i="1" s="1"/>
  <c r="M83" i="1"/>
  <c r="L83" i="1"/>
  <c r="K83" i="1"/>
  <c r="J83" i="1"/>
  <c r="F83" i="1"/>
  <c r="N83" i="1" s="1"/>
  <c r="AC82" i="1"/>
  <c r="AD82" i="1" s="1"/>
  <c r="AB82" i="1"/>
  <c r="AA82" i="1"/>
  <c r="Z82" i="1"/>
  <c r="R82" i="1"/>
  <c r="S82" i="1" s="1"/>
  <c r="L82" i="1"/>
  <c r="M82" i="1" s="1"/>
  <c r="N82" i="1" s="1"/>
  <c r="K82" i="1"/>
  <c r="J82" i="1"/>
  <c r="F82" i="1"/>
  <c r="AB81" i="1"/>
  <c r="AA81" i="1"/>
  <c r="AC81" i="1" s="1"/>
  <c r="AD81" i="1" s="1"/>
  <c r="Z81" i="1"/>
  <c r="V81" i="1"/>
  <c r="S81" i="1"/>
  <c r="R81" i="1"/>
  <c r="L81" i="1"/>
  <c r="M81" i="1" s="1"/>
  <c r="N81" i="1" s="1"/>
  <c r="K81" i="1"/>
  <c r="J81" i="1"/>
  <c r="F81" i="1"/>
  <c r="AD80" i="1"/>
  <c r="AC80" i="1"/>
  <c r="AA80" i="1"/>
  <c r="AB80" i="1" s="1"/>
  <c r="Z80" i="1"/>
  <c r="R80" i="1"/>
  <c r="S80" i="1" s="1"/>
  <c r="M80" i="1"/>
  <c r="L80" i="1"/>
  <c r="K80" i="1"/>
  <c r="J80" i="1"/>
  <c r="F80" i="1"/>
  <c r="N80" i="1" s="1"/>
  <c r="AB79" i="1"/>
  <c r="AA79" i="1"/>
  <c r="AC79" i="1" s="1"/>
  <c r="Z79" i="1"/>
  <c r="V79" i="1"/>
  <c r="R79" i="1"/>
  <c r="S79" i="1" s="1"/>
  <c r="L79" i="1"/>
  <c r="M79" i="1" s="1"/>
  <c r="N79" i="1" s="1"/>
  <c r="K79" i="1"/>
  <c r="J79" i="1"/>
  <c r="F79" i="1"/>
  <c r="AB78" i="1"/>
  <c r="AA78" i="1"/>
  <c r="AC78" i="1" s="1"/>
  <c r="AD78" i="1" s="1"/>
  <c r="Z78" i="1"/>
  <c r="S78" i="1"/>
  <c r="R78" i="1"/>
  <c r="L78" i="1"/>
  <c r="M78" i="1" s="1"/>
  <c r="N78" i="1" s="1"/>
  <c r="K78" i="1"/>
  <c r="J78" i="1"/>
  <c r="F78" i="1"/>
  <c r="AD77" i="1"/>
  <c r="AC77" i="1"/>
  <c r="AB77" i="1"/>
  <c r="AA77" i="1"/>
  <c r="Z77" i="1"/>
  <c r="V77" i="1"/>
  <c r="R77" i="1"/>
  <c r="S77" i="1" s="1"/>
  <c r="M77" i="1"/>
  <c r="L77" i="1"/>
  <c r="K77" i="1"/>
  <c r="J77" i="1"/>
  <c r="F77" i="1"/>
  <c r="N77" i="1" s="1"/>
  <c r="AC76" i="1"/>
  <c r="AD76" i="1" s="1"/>
  <c r="AB76" i="1"/>
  <c r="AA76" i="1"/>
  <c r="Z76" i="1"/>
  <c r="V76" i="1"/>
  <c r="R76" i="1"/>
  <c r="S76" i="1" s="1"/>
  <c r="M76" i="1"/>
  <c r="N76" i="1" s="1"/>
  <c r="L76" i="1"/>
  <c r="K76" i="1"/>
  <c r="F76" i="1"/>
  <c r="AB75" i="1"/>
  <c r="AA75" i="1"/>
  <c r="AC75" i="1" s="1"/>
  <c r="AD75" i="1" s="1"/>
  <c r="Z75" i="1"/>
  <c r="V75" i="1"/>
  <c r="S75" i="1"/>
  <c r="R75" i="1"/>
  <c r="L75" i="1"/>
  <c r="M75" i="1" s="1"/>
  <c r="N75" i="1" s="1"/>
  <c r="K75" i="1"/>
  <c r="J75" i="1"/>
  <c r="F75" i="1"/>
  <c r="AC74" i="1"/>
  <c r="AB74" i="1"/>
  <c r="AA74" i="1"/>
  <c r="Z74" i="1"/>
  <c r="Z85" i="1" s="1"/>
  <c r="V74" i="1"/>
  <c r="V85" i="1" s="1"/>
  <c r="R74" i="1"/>
  <c r="S74" i="1" s="1"/>
  <c r="S85" i="1" s="1"/>
  <c r="M74" i="1"/>
  <c r="L74" i="1"/>
  <c r="L85" i="1" s="1"/>
  <c r="K74" i="1"/>
  <c r="K85" i="1" s="1"/>
  <c r="J74" i="1"/>
  <c r="J85" i="1" s="1"/>
  <c r="F74" i="1"/>
  <c r="N74" i="1" s="1"/>
  <c r="AA73" i="1"/>
  <c r="Z73" i="1"/>
  <c r="Y73" i="1"/>
  <c r="AC73" i="1" s="1"/>
  <c r="X73" i="1"/>
  <c r="U73" i="1"/>
  <c r="T73" i="1"/>
  <c r="R73" i="1"/>
  <c r="Q73" i="1"/>
  <c r="P73" i="1"/>
  <c r="O73" i="1"/>
  <c r="L73" i="1"/>
  <c r="I73" i="1"/>
  <c r="H73" i="1"/>
  <c r="G73" i="1"/>
  <c r="D73" i="1"/>
  <c r="AD72" i="1"/>
  <c r="AC72" i="1"/>
  <c r="AB72" i="1"/>
  <c r="V72" i="1"/>
  <c r="S72" i="1"/>
  <c r="N72" i="1"/>
  <c r="M72" i="1"/>
  <c r="J72" i="1"/>
  <c r="F72" i="1"/>
  <c r="AC71" i="1"/>
  <c r="AD71" i="1" s="1"/>
  <c r="AB71" i="1"/>
  <c r="V71" i="1"/>
  <c r="S71" i="1"/>
  <c r="N71" i="1"/>
  <c r="M71" i="1"/>
  <c r="J71" i="1"/>
  <c r="F71" i="1"/>
  <c r="AC70" i="1"/>
  <c r="AD70" i="1" s="1"/>
  <c r="AB70" i="1"/>
  <c r="V70" i="1"/>
  <c r="S70" i="1"/>
  <c r="N70" i="1"/>
  <c r="M70" i="1"/>
  <c r="J70" i="1"/>
  <c r="F70" i="1"/>
  <c r="AD69" i="1"/>
  <c r="AC69" i="1"/>
  <c r="AB69" i="1"/>
  <c r="V69" i="1"/>
  <c r="S69" i="1"/>
  <c r="M69" i="1"/>
  <c r="J69" i="1"/>
  <c r="F69" i="1"/>
  <c r="N69" i="1" s="1"/>
  <c r="AC68" i="1"/>
  <c r="AD68" i="1" s="1"/>
  <c r="AB68" i="1"/>
  <c r="V68" i="1"/>
  <c r="V73" i="1" s="1"/>
  <c r="S68" i="1"/>
  <c r="S73" i="1" s="1"/>
  <c r="M68" i="1"/>
  <c r="M73" i="1" s="1"/>
  <c r="J68" i="1"/>
  <c r="J73" i="1" s="1"/>
  <c r="F68" i="1"/>
  <c r="AC67" i="1"/>
  <c r="AA67" i="1"/>
  <c r="Z67" i="1"/>
  <c r="Y67" i="1"/>
  <c r="X67" i="1"/>
  <c r="U67" i="1"/>
  <c r="T67" i="1"/>
  <c r="R67" i="1"/>
  <c r="Q67" i="1"/>
  <c r="P67" i="1"/>
  <c r="O67" i="1"/>
  <c r="L67" i="1"/>
  <c r="I67" i="1"/>
  <c r="H67" i="1"/>
  <c r="G67" i="1"/>
  <c r="D67" i="1"/>
  <c r="AC66" i="1"/>
  <c r="AD66" i="1" s="1"/>
  <c r="AB66" i="1"/>
  <c r="V66" i="1"/>
  <c r="S66" i="1"/>
  <c r="S67" i="1" s="1"/>
  <c r="N66" i="1"/>
  <c r="M66" i="1"/>
  <c r="J66" i="1"/>
  <c r="F66" i="1"/>
  <c r="AC65" i="1"/>
  <c r="AD65" i="1" s="1"/>
  <c r="AB65" i="1"/>
  <c r="V65" i="1"/>
  <c r="S65" i="1"/>
  <c r="N65" i="1"/>
  <c r="M65" i="1"/>
  <c r="J65" i="1"/>
  <c r="F65" i="1"/>
  <c r="AD64" i="1"/>
  <c r="AC64" i="1"/>
  <c r="AB64" i="1"/>
  <c r="V64" i="1"/>
  <c r="S64" i="1"/>
  <c r="M64" i="1"/>
  <c r="J64" i="1"/>
  <c r="F64" i="1"/>
  <c r="N64" i="1" s="1"/>
  <c r="AC63" i="1"/>
  <c r="AD63" i="1" s="1"/>
  <c r="AB63" i="1"/>
  <c r="S63" i="1"/>
  <c r="N63" i="1"/>
  <c r="F63" i="1"/>
  <c r="AC62" i="1"/>
  <c r="AD62" i="1" s="1"/>
  <c r="AB62" i="1"/>
  <c r="V62" i="1"/>
  <c r="S62" i="1"/>
  <c r="N62" i="1"/>
  <c r="M62" i="1"/>
  <c r="J62" i="1"/>
  <c r="F62" i="1"/>
  <c r="AD61" i="1"/>
  <c r="AC61" i="1"/>
  <c r="AB61" i="1"/>
  <c r="V61" i="1"/>
  <c r="V67" i="1" s="1"/>
  <c r="N61" i="1"/>
  <c r="M61" i="1"/>
  <c r="M67" i="1" s="1"/>
  <c r="J61" i="1"/>
  <c r="J67" i="1" s="1"/>
  <c r="F61" i="1"/>
  <c r="AC60" i="1"/>
  <c r="AA60" i="1"/>
  <c r="Z60" i="1"/>
  <c r="Y60" i="1"/>
  <c r="X60" i="1"/>
  <c r="U60" i="1"/>
  <c r="T60" i="1"/>
  <c r="S60" i="1"/>
  <c r="R60" i="1"/>
  <c r="Q60" i="1"/>
  <c r="P60" i="1"/>
  <c r="O60" i="1"/>
  <c r="L60" i="1"/>
  <c r="J60" i="1"/>
  <c r="I60" i="1"/>
  <c r="H60" i="1"/>
  <c r="G60" i="1"/>
  <c r="D60" i="1"/>
  <c r="AD59" i="1"/>
  <c r="AC59" i="1"/>
  <c r="AB59" i="1"/>
  <c r="V59" i="1"/>
  <c r="S59" i="1"/>
  <c r="N59" i="1"/>
  <c r="M59" i="1"/>
  <c r="K59" i="1"/>
  <c r="J59" i="1"/>
  <c r="F59" i="1"/>
  <c r="AC58" i="1"/>
  <c r="AD58" i="1" s="1"/>
  <c r="AB58" i="1"/>
  <c r="V58" i="1"/>
  <c r="S58" i="1"/>
  <c r="M58" i="1"/>
  <c r="K58" i="1"/>
  <c r="J58" i="1"/>
  <c r="F58" i="1"/>
  <c r="N58" i="1" s="1"/>
  <c r="AC57" i="1"/>
  <c r="AD57" i="1" s="1"/>
  <c r="AB57" i="1"/>
  <c r="V57" i="1"/>
  <c r="S57" i="1"/>
  <c r="M57" i="1"/>
  <c r="N57" i="1" s="1"/>
  <c r="K57" i="1"/>
  <c r="J57" i="1"/>
  <c r="F57" i="1"/>
  <c r="AD56" i="1"/>
  <c r="AC56" i="1"/>
  <c r="AB56" i="1"/>
  <c r="V56" i="1"/>
  <c r="S56" i="1"/>
  <c r="N56" i="1"/>
  <c r="M56" i="1"/>
  <c r="K56" i="1"/>
  <c r="J56" i="1"/>
  <c r="F56" i="1"/>
  <c r="AD55" i="1"/>
  <c r="AC55" i="1"/>
  <c r="AB55" i="1"/>
  <c r="V55" i="1"/>
  <c r="S55" i="1"/>
  <c r="N55" i="1"/>
  <c r="M55" i="1"/>
  <c r="K55" i="1"/>
  <c r="J55" i="1"/>
  <c r="F55" i="1"/>
  <c r="AC54" i="1"/>
  <c r="AD54" i="1" s="1"/>
  <c r="AB54" i="1"/>
  <c r="V54" i="1"/>
  <c r="V60" i="1" s="1"/>
  <c r="S54" i="1"/>
  <c r="M54" i="1"/>
  <c r="M60" i="1" s="1"/>
  <c r="K54" i="1"/>
  <c r="K60" i="1" s="1"/>
  <c r="J54" i="1"/>
  <c r="F54" i="1"/>
  <c r="N54" i="1" s="1"/>
  <c r="Y53" i="1"/>
  <c r="AC53" i="1" s="1"/>
  <c r="X53" i="1"/>
  <c r="V53" i="1"/>
  <c r="U53" i="1"/>
  <c r="T53" i="1"/>
  <c r="R53" i="1"/>
  <c r="Q53" i="1"/>
  <c r="P53" i="1"/>
  <c r="O53" i="1"/>
  <c r="L53" i="1"/>
  <c r="I53" i="1"/>
  <c r="H53" i="1"/>
  <c r="G53" i="1"/>
  <c r="D53" i="1"/>
  <c r="AD52" i="1"/>
  <c r="AC52" i="1"/>
  <c r="AB52" i="1"/>
  <c r="V52" i="1"/>
  <c r="S52" i="1"/>
  <c r="N52" i="1"/>
  <c r="M52" i="1"/>
  <c r="J52" i="1"/>
  <c r="F52" i="1"/>
  <c r="AD51" i="1"/>
  <c r="AC51" i="1"/>
  <c r="AB51" i="1"/>
  <c r="V51" i="1"/>
  <c r="S51" i="1"/>
  <c r="M51" i="1"/>
  <c r="N51" i="1" s="1"/>
  <c r="J51" i="1"/>
  <c r="J53" i="1" s="1"/>
  <c r="F51" i="1"/>
  <c r="AC50" i="1"/>
  <c r="AB50" i="1"/>
  <c r="V50" i="1"/>
  <c r="S50" i="1"/>
  <c r="S53" i="1" s="1"/>
  <c r="M50" i="1"/>
  <c r="N50" i="1" s="1"/>
  <c r="F50" i="1"/>
  <c r="AD49" i="1"/>
  <c r="AC49" i="1"/>
  <c r="AB49" i="1"/>
  <c r="V49" i="1"/>
  <c r="N49" i="1"/>
  <c r="M49" i="1"/>
  <c r="F49" i="1"/>
  <c r="AC48" i="1"/>
  <c r="AA48" i="1"/>
  <c r="Z48" i="1"/>
  <c r="Y48" i="1"/>
  <c r="X48" i="1"/>
  <c r="U48" i="1"/>
  <c r="T48" i="1"/>
  <c r="R48" i="1"/>
  <c r="Q48" i="1"/>
  <c r="P48" i="1"/>
  <c r="O48" i="1"/>
  <c r="L48" i="1"/>
  <c r="I48" i="1"/>
  <c r="H48" i="1"/>
  <c r="G48" i="1"/>
  <c r="D48" i="1"/>
  <c r="AD47" i="1"/>
  <c r="AC47" i="1"/>
  <c r="AB47" i="1"/>
  <c r="V47" i="1"/>
  <c r="S47" i="1"/>
  <c r="M47" i="1"/>
  <c r="J47" i="1"/>
  <c r="F47" i="1"/>
  <c r="N47" i="1" s="1"/>
  <c r="AC46" i="1"/>
  <c r="AD46" i="1" s="1"/>
  <c r="AB46" i="1"/>
  <c r="V46" i="1"/>
  <c r="S46" i="1"/>
  <c r="M46" i="1"/>
  <c r="N46" i="1" s="1"/>
  <c r="J46" i="1"/>
  <c r="F46" i="1"/>
  <c r="AD45" i="1"/>
  <c r="AC45" i="1"/>
  <c r="AB45" i="1"/>
  <c r="V45" i="1"/>
  <c r="S45" i="1"/>
  <c r="M45" i="1"/>
  <c r="N45" i="1" s="1"/>
  <c r="J45" i="1"/>
  <c r="F45" i="1"/>
  <c r="AD44" i="1"/>
  <c r="AC44" i="1"/>
  <c r="AB44" i="1"/>
  <c r="V44" i="1"/>
  <c r="S44" i="1"/>
  <c r="N44" i="1"/>
  <c r="M44" i="1"/>
  <c r="J44" i="1"/>
  <c r="F44" i="1"/>
  <c r="AD43" i="1"/>
  <c r="AC43" i="1"/>
  <c r="AB43" i="1"/>
  <c r="V43" i="1"/>
  <c r="S43" i="1"/>
  <c r="S48" i="1" s="1"/>
  <c r="M43" i="1"/>
  <c r="N43" i="1" s="1"/>
  <c r="J43" i="1"/>
  <c r="J48" i="1" s="1"/>
  <c r="F43" i="1"/>
  <c r="AD42" i="1"/>
  <c r="AC42" i="1"/>
  <c r="AB42" i="1"/>
  <c r="AB48" i="1" s="1"/>
  <c r="V42" i="1"/>
  <c r="V48" i="1" s="1"/>
  <c r="M42" i="1"/>
  <c r="M48" i="1" s="1"/>
  <c r="F42" i="1"/>
  <c r="J41" i="1"/>
  <c r="AD40" i="1"/>
  <c r="AC40" i="1"/>
  <c r="AB40" i="1"/>
  <c r="V40" i="1"/>
  <c r="M40" i="1"/>
  <c r="N40" i="1" s="1"/>
  <c r="L40" i="1"/>
  <c r="K40" i="1"/>
  <c r="F40" i="1"/>
  <c r="AC39" i="1"/>
  <c r="AD39" i="1" s="1"/>
  <c r="AB39" i="1"/>
  <c r="V39" i="1"/>
  <c r="N39" i="1"/>
  <c r="M39" i="1"/>
  <c r="K39" i="1"/>
  <c r="J39" i="1"/>
  <c r="F39" i="1"/>
  <c r="AC38" i="1"/>
  <c r="AB38" i="1"/>
  <c r="V38" i="1"/>
  <c r="N38" i="1"/>
  <c r="M38" i="1"/>
  <c r="J38" i="1"/>
  <c r="F38" i="1"/>
  <c r="AC37" i="1"/>
  <c r="AB37" i="1"/>
  <c r="V37" i="1"/>
  <c r="M37" i="1"/>
  <c r="N37" i="1" s="1"/>
  <c r="K37" i="1"/>
  <c r="J37" i="1"/>
  <c r="F37" i="1"/>
  <c r="AC36" i="1"/>
  <c r="AD36" i="1" s="1"/>
  <c r="AB36" i="1"/>
  <c r="V36" i="1"/>
  <c r="N36" i="1"/>
  <c r="M36" i="1"/>
  <c r="J36" i="1"/>
  <c r="F36" i="1"/>
  <c r="AC35" i="1"/>
  <c r="AD35" i="1" s="1"/>
  <c r="AB35" i="1"/>
  <c r="V35" i="1"/>
  <c r="N35" i="1"/>
  <c r="M35" i="1"/>
  <c r="K35" i="1"/>
  <c r="J35" i="1"/>
  <c r="F35" i="1"/>
  <c r="AC34" i="1"/>
  <c r="AD34" i="1" s="1"/>
  <c r="AB34" i="1"/>
  <c r="V34" i="1"/>
  <c r="N34" i="1"/>
  <c r="M34" i="1"/>
  <c r="K34" i="1"/>
  <c r="J34" i="1"/>
  <c r="F34" i="1"/>
  <c r="AC33" i="1"/>
  <c r="AB33" i="1"/>
  <c r="V33" i="1"/>
  <c r="N33" i="1"/>
  <c r="M33" i="1"/>
  <c r="K33" i="1"/>
  <c r="J33" i="1"/>
  <c r="F33" i="1"/>
  <c r="AD32" i="1"/>
  <c r="AC32" i="1"/>
  <c r="AB32" i="1"/>
  <c r="V32" i="1"/>
  <c r="R32" i="1"/>
  <c r="N32" i="1"/>
  <c r="M32" i="1"/>
  <c r="K32" i="1"/>
  <c r="J32" i="1"/>
  <c r="F32" i="1"/>
  <c r="AD31" i="1"/>
  <c r="AC31" i="1"/>
  <c r="AB31" i="1"/>
  <c r="V31" i="1"/>
  <c r="M31" i="1"/>
  <c r="N31" i="1" s="1"/>
  <c r="J31" i="1"/>
  <c r="F31" i="1"/>
  <c r="AD30" i="1"/>
  <c r="AC30" i="1"/>
  <c r="AB30" i="1"/>
  <c r="V30" i="1"/>
  <c r="M30" i="1"/>
  <c r="N30" i="1" s="1"/>
  <c r="K30" i="1"/>
  <c r="J30" i="1"/>
  <c r="F30" i="1"/>
  <c r="AD29" i="1"/>
  <c r="AC29" i="1"/>
  <c r="AB29" i="1"/>
  <c r="V29" i="1"/>
  <c r="M29" i="1"/>
  <c r="N29" i="1" s="1"/>
  <c r="J29" i="1"/>
  <c r="F29" i="1"/>
  <c r="AD28" i="1"/>
  <c r="AC28" i="1"/>
  <c r="AB28" i="1"/>
  <c r="V28" i="1"/>
  <c r="M28" i="1"/>
  <c r="N28" i="1" s="1"/>
  <c r="K28" i="1"/>
  <c r="F28" i="1"/>
  <c r="AD27" i="1"/>
  <c r="AC27" i="1"/>
  <c r="AB27" i="1"/>
  <c r="Z27" i="1"/>
  <c r="V27" i="1"/>
  <c r="L27" i="1"/>
  <c r="M27" i="1" s="1"/>
  <c r="N27" i="1" s="1"/>
  <c r="K27" i="1"/>
  <c r="J27" i="1"/>
  <c r="F27" i="1"/>
  <c r="AC26" i="1"/>
  <c r="AD26" i="1" s="1"/>
  <c r="AB26" i="1"/>
  <c r="V26" i="1"/>
  <c r="N26" i="1"/>
  <c r="M26" i="1"/>
  <c r="K26" i="1"/>
  <c r="J26" i="1"/>
  <c r="F26" i="1"/>
  <c r="AA25" i="1"/>
  <c r="AB25" i="1" s="1"/>
  <c r="Z25" i="1"/>
  <c r="V25" i="1"/>
  <c r="R25" i="1"/>
  <c r="L25" i="1"/>
  <c r="M25" i="1" s="1"/>
  <c r="N25" i="1" s="1"/>
  <c r="K25" i="1"/>
  <c r="J25" i="1"/>
  <c r="F25" i="1"/>
  <c r="AD24" i="1"/>
  <c r="AC24" i="1"/>
  <c r="AB24" i="1"/>
  <c r="V24" i="1"/>
  <c r="N24" i="1"/>
  <c r="M24" i="1"/>
  <c r="J24" i="1"/>
  <c r="F24" i="1"/>
  <c r="AD23" i="1"/>
  <c r="AC23" i="1"/>
  <c r="AB23" i="1"/>
  <c r="V23" i="1"/>
  <c r="N23" i="1"/>
  <c r="M23" i="1"/>
  <c r="J23" i="1"/>
  <c r="F23" i="1"/>
  <c r="AD22" i="1"/>
  <c r="AC22" i="1"/>
  <c r="AB22" i="1"/>
  <c r="V22" i="1"/>
  <c r="N22" i="1"/>
  <c r="M22" i="1"/>
  <c r="K22" i="1"/>
  <c r="J22" i="1"/>
  <c r="F22" i="1"/>
  <c r="AD21" i="1"/>
  <c r="AC21" i="1"/>
  <c r="AB21" i="1"/>
  <c r="V21" i="1"/>
  <c r="M21" i="1"/>
  <c r="N21" i="1" s="1"/>
  <c r="J21" i="1"/>
  <c r="F21" i="1"/>
  <c r="AD20" i="1"/>
  <c r="AC20" i="1"/>
  <c r="AB20" i="1"/>
  <c r="V20" i="1"/>
  <c r="M20" i="1"/>
  <c r="N20" i="1" s="1"/>
  <c r="J20" i="1"/>
  <c r="F20" i="1"/>
  <c r="AD16" i="1"/>
  <c r="AC16" i="1"/>
  <c r="AB16" i="1"/>
  <c r="V16" i="1"/>
  <c r="M16" i="1"/>
  <c r="N16" i="1" s="1"/>
  <c r="J16" i="1"/>
  <c r="F16" i="1"/>
  <c r="AD15" i="1"/>
  <c r="AC15" i="1"/>
  <c r="AB15" i="1"/>
  <c r="V15" i="1"/>
  <c r="M15" i="1"/>
  <c r="N15" i="1" s="1"/>
  <c r="J15" i="1"/>
  <c r="F15" i="1"/>
  <c r="AD14" i="1"/>
  <c r="AC14" i="1"/>
  <c r="AB14" i="1"/>
  <c r="V14" i="1"/>
  <c r="M14" i="1"/>
  <c r="N14" i="1" s="1"/>
  <c r="J14" i="1"/>
  <c r="F14" i="1"/>
  <c r="AD13" i="1"/>
  <c r="AC13" i="1"/>
  <c r="AB13" i="1"/>
  <c r="V13" i="1"/>
  <c r="M13" i="1"/>
  <c r="N13" i="1" s="1"/>
  <c r="J13" i="1"/>
  <c r="F13" i="1"/>
  <c r="AD12" i="1"/>
  <c r="AC12" i="1"/>
  <c r="AB12" i="1"/>
  <c r="V12" i="1"/>
  <c r="M12" i="1"/>
  <c r="N12" i="1" s="1"/>
  <c r="J12" i="1"/>
  <c r="F12" i="1"/>
  <c r="AD11" i="1"/>
  <c r="AC11" i="1"/>
  <c r="AB11" i="1"/>
  <c r="V11" i="1"/>
  <c r="M11" i="1"/>
  <c r="N11" i="1" s="1"/>
  <c r="J11" i="1"/>
  <c r="F11" i="1"/>
  <c r="M85" i="1" l="1"/>
  <c r="M98" i="1"/>
  <c r="N94" i="1"/>
  <c r="S104" i="1"/>
  <c r="AC25" i="1"/>
  <c r="AD25" i="1" s="1"/>
  <c r="R85" i="1"/>
  <c r="N68" i="1"/>
  <c r="M116" i="1"/>
  <c r="N143" i="1"/>
  <c r="N165" i="1"/>
  <c r="L176" i="1"/>
  <c r="M53" i="1"/>
  <c r="N42" i="1"/>
  <c r="M130" i="1"/>
</calcChain>
</file>

<file path=xl/sharedStrings.xml><?xml version="1.0" encoding="utf-8"?>
<sst xmlns="http://schemas.openxmlformats.org/spreadsheetml/2006/main" count="220" uniqueCount="175">
  <si>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2020 года</t>
  </si>
  <si>
    <t>Муниципальный район</t>
  </si>
  <si>
    <t>Муниципальные образования</t>
  </si>
  <si>
    <t>Численность населения по состоянию на 01.01.2019 г</t>
  </si>
  <si>
    <t xml:space="preserve">Норматив на содержание ОМС на 2020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</si>
  <si>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2020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</si>
  <si>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30.06.2020</t>
  </si>
  <si>
    <t xml:space="preserve">В том числе </t>
  </si>
  <si>
    <t>Переданные полномочия</t>
  </si>
  <si>
    <r>
      <t xml:space="preserve">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30.09.2020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</si>
  <si>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</si>
  <si>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</si>
  <si>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</si>
  <si>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</si>
  <si>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</si>
  <si>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</si>
  <si>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</si>
  <si>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2020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</si>
  <si>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</si>
  <si>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</si>
  <si>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</si>
  <si>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30.09.2020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</si>
  <si>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</si>
  <si>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</si>
  <si>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</si>
  <si>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</si>
  <si>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</si>
  <si>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</si>
  <si>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</si>
  <si>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</si>
  <si>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</si>
  <si>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</si>
  <si>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</si>
  <si>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</si>
  <si>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</si>
  <si>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</si>
  <si>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</si>
  <si>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</si>
  <si>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</si>
  <si>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</si>
  <si>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</si>
  <si>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</si>
  <si>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</si>
  <si>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</si>
  <si>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</si>
  <si>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</si>
  <si>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</si>
  <si>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</si>
  <si>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</si>
  <si>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</si>
  <si>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</si>
  <si>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</si>
  <si>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</si>
  <si>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</si>
  <si>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</si>
  <si>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</si>
  <si>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</si>
  <si>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</si>
  <si>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</si>
  <si>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</si>
  <si>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</si>
  <si>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</si>
  <si>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</si>
  <si>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</si>
  <si>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</si>
  <si>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</si>
  <si>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</si>
  <si>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</si>
  <si>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</si>
  <si>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</si>
  <si>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</si>
  <si>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</si>
  <si>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</si>
  <si>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</si>
  <si>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</si>
  <si>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</si>
  <si>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</si>
  <si>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</si>
  <si>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</si>
  <si>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</si>
  <si>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</si>
  <si>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</si>
  <si>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</si>
  <si>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</si>
  <si>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</si>
  <si>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</si>
  <si>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</si>
  <si>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</si>
  <si>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</si>
  <si>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</si>
  <si>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</si>
  <si>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</si>
  <si>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</si>
  <si>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</si>
  <si>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</si>
  <si>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</si>
  <si>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</si>
  <si>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</si>
  <si>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</si>
  <si>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</si>
  <si>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</si>
  <si>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</si>
  <si>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</si>
  <si>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</si>
  <si>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</si>
  <si>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</si>
  <si>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</si>
  <si>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</si>
  <si>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</si>
  <si>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Шилекшинское с/п</t>
  </si>
  <si>
    <t>Комсомольский м.р.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</si>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</sst>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167" fontId="4" fillId="3" borderId="1" xfId="2" applyNumberFormat="1" applyFont="1" applyFill="1" applyBorder="1" applyAlignment="1" applyProtection="1">
      <alignment vertical="top"/>
    </xf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5" fontId="4" fillId="0" borderId="1" xfId="0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5" xfId="0" applyNumberFormat="1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5" fontId="4" fillId="0" borderId="7" xfId="4" applyNumberFormat="1" applyFont="1" applyFill="1" applyBorder="1"/>
    <xf numFmtId="165" fontId="4" fillId="0" borderId="1" xfId="3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4" fontId="4" fillId="0" borderId="0" xfId="0" applyNumberFormat="1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0"/>
  <sheetViews>
    <sheetView tabSelected="1" topLeftCell="B1" zoomScale="96" zoomScaleNormal="96" workbookViewId="0">
      <pane xSplit="2" ySplit="9" topLeftCell="D127" activePane="bottomRight" state="frozen"/>
      <selection activeCell="B1" sqref="B1"/>
      <selection pane="topRight" activeCell="O1" sqref="O1"/>
      <selection pane="bottomLeft" activeCell="B7" sqref="B7"/>
      <selection pane="bottomRight" activeCell="AG9" sqref="AG9"/>
    </sheetView>
  </sheetViews>
  <sheetFormatPr defaultRowHeight="12.75" x14ac:dyDescent="0.2"/>
  <cols>
    <col min="1" max="1" width="3.28515625" customWidth="1"/>
    <col min="2" max="2" width="15.85546875" style="172" customWidth="1"/>
    <col min="3" max="3" width="29" style="172" customWidth="1"/>
    <col min="4" max="5" width="15.140625" style="172" hidden="1" customWidth="1"/>
    <col min="6" max="6" width="15.140625" style="172" customWidth="1"/>
    <col min="7" max="7" width="12.5703125" style="172" hidden="1" customWidth="1"/>
    <col min="8" max="8" width="10" style="172" hidden="1" customWidth="1"/>
    <col min="9" max="9" width="10.140625" style="172" hidden="1" customWidth="1"/>
    <col min="10" max="10" width="11.85546875" style="172" hidden="1" customWidth="1"/>
    <col min="11" max="11" width="11.140625" style="172" hidden="1" customWidth="1"/>
    <col min="12" max="12" width="17.140625" style="172" hidden="1" customWidth="1"/>
    <col min="13" max="13" width="18.7109375" style="172" customWidth="1"/>
    <col min="14" max="14" width="15" style="172" customWidth="1"/>
    <col min="15" max="15" width="12.140625" style="172" hidden="1" customWidth="1"/>
    <col min="16" max="17" width="11.28515625" style="172" hidden="1" customWidth="1"/>
    <col min="18" max="19" width="11.5703125" style="172" hidden="1" customWidth="1"/>
    <col min="20" max="20" width="15" style="172" hidden="1" customWidth="1"/>
    <col min="21" max="21" width="11.42578125" style="172" hidden="1" customWidth="1"/>
    <col min="22" max="22" width="17.7109375" style="177" hidden="1" customWidth="1"/>
    <col min="23" max="23" width="28.28515625" style="178" customWidth="1"/>
    <col min="24" max="24" width="12.28515625" style="172" hidden="1" customWidth="1"/>
    <col min="25" max="25" width="12.140625" style="172" hidden="1" customWidth="1"/>
    <col min="26" max="26" width="12.85546875" style="172" hidden="1" customWidth="1"/>
    <col min="27" max="27" width="11.140625" style="172" hidden="1" customWidth="1"/>
    <col min="28" max="28" width="14.5703125" style="172" hidden="1" customWidth="1"/>
    <col min="29" max="29" width="18.28515625" style="172" customWidth="1"/>
    <col min="30" max="30" width="13" style="172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12" t="s">
        <v>11</v>
      </c>
      <c r="P4" s="12" t="s">
        <v>7</v>
      </c>
      <c r="Q4" s="13"/>
      <c r="R4" s="12" t="s">
        <v>12</v>
      </c>
      <c r="S4" s="12" t="s">
        <v>13</v>
      </c>
      <c r="T4" s="14" t="s">
        <v>14</v>
      </c>
      <c r="U4" s="12" t="s">
        <v>15</v>
      </c>
      <c r="V4" s="15" t="s">
        <v>16</v>
      </c>
      <c r="W4" s="16" t="s">
        <v>17</v>
      </c>
      <c r="X4" s="12" t="s">
        <v>18</v>
      </c>
      <c r="Y4" s="7" t="s">
        <v>19</v>
      </c>
      <c r="Z4" s="17" t="s">
        <v>20</v>
      </c>
      <c r="AA4" s="17"/>
      <c r="AB4" s="18" t="s">
        <v>10</v>
      </c>
      <c r="AC4" s="5" t="s">
        <v>21</v>
      </c>
      <c r="AD4" s="18" t="s">
        <v>10</v>
      </c>
    </row>
    <row r="5" spans="2:30" ht="14.25" customHeight="1" x14ac:dyDescent="0.2">
      <c r="B5" s="19"/>
      <c r="C5" s="20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1" t="s">
        <v>25</v>
      </c>
      <c r="L5" s="7" t="s">
        <v>26</v>
      </c>
      <c r="M5" s="5"/>
      <c r="N5" s="11"/>
      <c r="O5" s="12"/>
      <c r="P5" s="12" t="s">
        <v>22</v>
      </c>
      <c r="Q5" s="12" t="s">
        <v>23</v>
      </c>
      <c r="R5" s="12"/>
      <c r="S5" s="12"/>
      <c r="T5" s="22"/>
      <c r="U5" s="12"/>
      <c r="V5" s="15"/>
      <c r="W5" s="16"/>
      <c r="X5" s="12"/>
      <c r="Y5" s="7"/>
      <c r="Z5" s="7" t="s">
        <v>27</v>
      </c>
      <c r="AA5" s="7" t="s">
        <v>28</v>
      </c>
      <c r="AB5" s="18"/>
      <c r="AC5" s="5"/>
      <c r="AD5" s="18"/>
    </row>
    <row r="6" spans="2:30" ht="26.25" customHeight="1" x14ac:dyDescent="0.2">
      <c r="B6" s="19"/>
      <c r="C6" s="20"/>
      <c r="D6" s="3"/>
      <c r="E6" s="4"/>
      <c r="F6" s="5"/>
      <c r="G6" s="8"/>
      <c r="H6" s="7"/>
      <c r="I6" s="7"/>
      <c r="J6" s="7"/>
      <c r="K6" s="23"/>
      <c r="L6" s="7"/>
      <c r="M6" s="5"/>
      <c r="N6" s="11"/>
      <c r="O6" s="12"/>
      <c r="P6" s="13"/>
      <c r="Q6" s="13"/>
      <c r="R6" s="12"/>
      <c r="S6" s="12"/>
      <c r="T6" s="22"/>
      <c r="U6" s="12"/>
      <c r="V6" s="15"/>
      <c r="W6" s="16"/>
      <c r="X6" s="12"/>
      <c r="Y6" s="7"/>
      <c r="Z6" s="7"/>
      <c r="AA6" s="7"/>
      <c r="AB6" s="18"/>
      <c r="AC6" s="5"/>
      <c r="AD6" s="18"/>
    </row>
    <row r="7" spans="2:30" ht="27.75" customHeight="1" x14ac:dyDescent="0.2">
      <c r="B7" s="19"/>
      <c r="C7" s="20"/>
      <c r="D7" s="3"/>
      <c r="E7" s="4"/>
      <c r="F7" s="5"/>
      <c r="G7" s="8"/>
      <c r="H7" s="7"/>
      <c r="I7" s="7"/>
      <c r="J7" s="7"/>
      <c r="K7" s="23"/>
      <c r="L7" s="7"/>
      <c r="M7" s="5"/>
      <c r="N7" s="11"/>
      <c r="O7" s="12"/>
      <c r="P7" s="13"/>
      <c r="Q7" s="13"/>
      <c r="R7" s="12"/>
      <c r="S7" s="12"/>
      <c r="T7" s="22"/>
      <c r="U7" s="12"/>
      <c r="V7" s="15"/>
      <c r="W7" s="16"/>
      <c r="X7" s="12"/>
      <c r="Y7" s="7"/>
      <c r="Z7" s="7"/>
      <c r="AA7" s="7"/>
      <c r="AB7" s="18"/>
      <c r="AC7" s="5"/>
      <c r="AD7" s="18"/>
    </row>
    <row r="8" spans="2:30" ht="21.75" hidden="1" customHeight="1" x14ac:dyDescent="0.2">
      <c r="B8" s="19"/>
      <c r="C8" s="20"/>
      <c r="D8" s="3"/>
      <c r="E8" s="4"/>
      <c r="F8" s="5"/>
      <c r="G8" s="8"/>
      <c r="H8" s="7"/>
      <c r="I8" s="7"/>
      <c r="J8" s="7"/>
      <c r="K8" s="23"/>
      <c r="L8" s="7"/>
      <c r="M8" s="5"/>
      <c r="N8" s="11"/>
      <c r="O8" s="12"/>
      <c r="P8" s="13"/>
      <c r="Q8" s="13"/>
      <c r="R8" s="12"/>
      <c r="S8" s="12"/>
      <c r="T8" s="22"/>
      <c r="U8" s="12"/>
      <c r="V8" s="15"/>
      <c r="W8" s="16"/>
      <c r="X8" s="12"/>
      <c r="Y8" s="7"/>
      <c r="Z8" s="7"/>
      <c r="AA8" s="7"/>
      <c r="AB8" s="18"/>
      <c r="AC8" s="5"/>
      <c r="AD8" s="18"/>
    </row>
    <row r="9" spans="2:30" ht="231" customHeight="1" thickBot="1" x14ac:dyDescent="0.25">
      <c r="B9" s="24"/>
      <c r="C9" s="25"/>
      <c r="D9" s="26"/>
      <c r="E9" s="27"/>
      <c r="F9" s="28"/>
      <c r="G9" s="29"/>
      <c r="H9" s="21"/>
      <c r="I9" s="21"/>
      <c r="J9" s="21"/>
      <c r="K9" s="23"/>
      <c r="L9" s="21"/>
      <c r="M9" s="28"/>
      <c r="N9" s="30"/>
      <c r="O9" s="14"/>
      <c r="P9" s="31"/>
      <c r="Q9" s="31"/>
      <c r="R9" s="14"/>
      <c r="S9" s="14"/>
      <c r="T9" s="22"/>
      <c r="U9" s="14"/>
      <c r="V9" s="32"/>
      <c r="W9" s="33"/>
      <c r="X9" s="14"/>
      <c r="Y9" s="21"/>
      <c r="Z9" s="21"/>
      <c r="AA9" s="21"/>
      <c r="AB9" s="34"/>
      <c r="AC9" s="28"/>
      <c r="AD9" s="34"/>
    </row>
    <row r="10" spans="2:30" s="41" customFormat="1" ht="21.75" customHeight="1" x14ac:dyDescent="0.25">
      <c r="B10" s="35"/>
      <c r="C10" s="36" t="s">
        <v>29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9"/>
      <c r="X10" s="37"/>
      <c r="Y10" s="37"/>
      <c r="Z10" s="37"/>
      <c r="AA10" s="37"/>
      <c r="AB10" s="37"/>
      <c r="AC10" s="37"/>
      <c r="AD10" s="40"/>
    </row>
    <row r="11" spans="2:30" s="41" customFormat="1" ht="15.75" customHeight="1" x14ac:dyDescent="0.25">
      <c r="B11" s="42"/>
      <c r="C11" s="43" t="s">
        <v>30</v>
      </c>
      <c r="D11" s="44">
        <v>33.793999999999997</v>
      </c>
      <c r="E11" s="45">
        <v>994.6</v>
      </c>
      <c r="F11" s="45">
        <f t="shared" ref="F11:F16" si="0">E11*D11</f>
        <v>33611.5124</v>
      </c>
      <c r="G11" s="46">
        <v>33016.199999999997</v>
      </c>
      <c r="H11" s="46">
        <v>22068.2</v>
      </c>
      <c r="I11" s="46">
        <v>6710.7</v>
      </c>
      <c r="J11" s="47">
        <f t="shared" ref="J11:J47" si="1">H11+I11</f>
        <v>28778.9</v>
      </c>
      <c r="K11" s="47"/>
      <c r="L11" s="47"/>
      <c r="M11" s="47">
        <f t="shared" ref="M11:M16" si="2">G11+L11</f>
        <v>33016.199999999997</v>
      </c>
      <c r="N11" s="47">
        <f t="shared" ref="N11:N16" si="3">M11-F11</f>
        <v>-595.31240000000253</v>
      </c>
      <c r="O11" s="47">
        <v>25509.8</v>
      </c>
      <c r="P11" s="46">
        <v>19564.900000000001</v>
      </c>
      <c r="Q11" s="46">
        <v>5944.9</v>
      </c>
      <c r="R11" s="46"/>
      <c r="S11" s="48"/>
      <c r="T11" s="49">
        <v>-900.16665999999998</v>
      </c>
      <c r="U11" s="49">
        <v>-16.896999999999998</v>
      </c>
      <c r="V11" s="50">
        <f t="shared" ref="V11:V16" si="4">T11+U11</f>
        <v>-917.06366000000003</v>
      </c>
      <c r="W11" s="51">
        <v>55</v>
      </c>
      <c r="X11" s="52">
        <v>62</v>
      </c>
      <c r="Y11" s="52">
        <v>50</v>
      </c>
      <c r="Z11" s="52"/>
      <c r="AA11" s="52"/>
      <c r="AB11" s="53">
        <f>Y11-W11</f>
        <v>-5</v>
      </c>
      <c r="AC11" s="52">
        <f>Y11+AA11</f>
        <v>50</v>
      </c>
      <c r="AD11" s="54">
        <f>AC11-W11</f>
        <v>-5</v>
      </c>
    </row>
    <row r="12" spans="2:30" s="41" customFormat="1" ht="15.75" customHeight="1" x14ac:dyDescent="0.25">
      <c r="B12" s="42"/>
      <c r="C12" s="43" t="s">
        <v>31</v>
      </c>
      <c r="D12" s="44">
        <v>405.053</v>
      </c>
      <c r="E12" s="45">
        <v>991.6</v>
      </c>
      <c r="F12" s="45">
        <f t="shared" si="0"/>
        <v>401650.55479999998</v>
      </c>
      <c r="G12" s="46">
        <v>406893.3</v>
      </c>
      <c r="H12" s="46">
        <v>293072.7</v>
      </c>
      <c r="I12" s="46">
        <v>86942.2</v>
      </c>
      <c r="J12" s="47">
        <f t="shared" si="1"/>
        <v>380014.9</v>
      </c>
      <c r="K12" s="47"/>
      <c r="L12" s="47"/>
      <c r="M12" s="47">
        <f t="shared" si="2"/>
        <v>406893.3</v>
      </c>
      <c r="N12" s="55">
        <f t="shared" si="3"/>
        <v>5242.7452000000048</v>
      </c>
      <c r="O12" s="47">
        <v>355420.8</v>
      </c>
      <c r="P12" s="46">
        <v>274238.7</v>
      </c>
      <c r="Q12" s="46">
        <v>81182.100000000006</v>
      </c>
      <c r="R12" s="46"/>
      <c r="S12" s="48"/>
      <c r="T12" s="49">
        <v>-6476.8969999999999</v>
      </c>
      <c r="U12" s="49">
        <v>-101.26325</v>
      </c>
      <c r="V12" s="50">
        <f t="shared" si="4"/>
        <v>-6578.1602499999999</v>
      </c>
      <c r="W12" s="51">
        <v>567</v>
      </c>
      <c r="X12" s="52">
        <v>625</v>
      </c>
      <c r="Y12" s="52">
        <v>546</v>
      </c>
      <c r="Z12" s="52"/>
      <c r="AA12" s="52"/>
      <c r="AB12" s="53">
        <f t="shared" ref="AB12:AB16" si="5">Y12-W12</f>
        <v>-21</v>
      </c>
      <c r="AC12" s="52">
        <f t="shared" ref="AC12:AC87" si="6">Y12+AA12</f>
        <v>546</v>
      </c>
      <c r="AD12" s="54">
        <f t="shared" ref="AD12:AD87" si="7">AC12-W12</f>
        <v>-21</v>
      </c>
    </row>
    <row r="13" spans="2:30" s="41" customFormat="1" ht="15.75" customHeight="1" x14ac:dyDescent="0.25">
      <c r="B13" s="42"/>
      <c r="C13" s="43" t="s">
        <v>32</v>
      </c>
      <c r="D13" s="44">
        <v>81.986000000000004</v>
      </c>
      <c r="E13" s="45">
        <v>998.7</v>
      </c>
      <c r="F13" s="45">
        <f t="shared" si="0"/>
        <v>81879.418200000015</v>
      </c>
      <c r="G13" s="46">
        <v>78197.2</v>
      </c>
      <c r="H13" s="46">
        <v>47567.1</v>
      </c>
      <c r="I13" s="46">
        <v>15252.9</v>
      </c>
      <c r="J13" s="47">
        <f t="shared" si="1"/>
        <v>62820</v>
      </c>
      <c r="K13" s="47"/>
      <c r="L13" s="47"/>
      <c r="M13" s="47">
        <f t="shared" si="2"/>
        <v>78197.2</v>
      </c>
      <c r="N13" s="47">
        <f t="shared" si="3"/>
        <v>-3682.2182000000175</v>
      </c>
      <c r="O13" s="47">
        <v>53895</v>
      </c>
      <c r="P13" s="46">
        <v>40910.300000000003</v>
      </c>
      <c r="Q13" s="46">
        <v>12984.7</v>
      </c>
      <c r="R13" s="46"/>
      <c r="S13" s="48"/>
      <c r="T13" s="49">
        <v>-1523.9565399999999</v>
      </c>
      <c r="U13" s="49">
        <v>-32.794400000000003</v>
      </c>
      <c r="V13" s="50">
        <f t="shared" si="4"/>
        <v>-1556.7509399999999</v>
      </c>
      <c r="W13" s="51">
        <v>135</v>
      </c>
      <c r="X13" s="52">
        <v>164</v>
      </c>
      <c r="Y13" s="52">
        <v>129</v>
      </c>
      <c r="Z13" s="52"/>
      <c r="AA13" s="52"/>
      <c r="AB13" s="53">
        <f t="shared" si="5"/>
        <v>-6</v>
      </c>
      <c r="AC13" s="52">
        <f t="shared" si="6"/>
        <v>129</v>
      </c>
      <c r="AD13" s="54">
        <f t="shared" si="7"/>
        <v>-6</v>
      </c>
    </row>
    <row r="14" spans="2:30" s="41" customFormat="1" ht="15.75" customHeight="1" x14ac:dyDescent="0.25">
      <c r="B14" s="42"/>
      <c r="C14" s="43" t="s">
        <v>33</v>
      </c>
      <c r="D14" s="44">
        <v>30.22</v>
      </c>
      <c r="E14" s="45">
        <v>1434.7</v>
      </c>
      <c r="F14" s="45">
        <f t="shared" si="0"/>
        <v>43356.633999999998</v>
      </c>
      <c r="G14" s="47">
        <v>42493.2</v>
      </c>
      <c r="H14" s="47">
        <v>29289</v>
      </c>
      <c r="I14" s="47">
        <v>8574.7999999999993</v>
      </c>
      <c r="J14" s="47">
        <f t="shared" si="1"/>
        <v>37863.800000000003</v>
      </c>
      <c r="K14" s="47"/>
      <c r="L14" s="47"/>
      <c r="M14" s="47">
        <f t="shared" si="2"/>
        <v>42493.2</v>
      </c>
      <c r="N14" s="47">
        <f t="shared" si="3"/>
        <v>-863.43400000000111</v>
      </c>
      <c r="O14" s="47">
        <v>25420.2</v>
      </c>
      <c r="P14" s="47">
        <v>19744.400000000001</v>
      </c>
      <c r="Q14" s="47">
        <v>5675.8</v>
      </c>
      <c r="R14" s="47"/>
      <c r="S14" s="48"/>
      <c r="T14" s="49">
        <v>-495.86889000000002</v>
      </c>
      <c r="U14" s="49">
        <v>-15.11</v>
      </c>
      <c r="V14" s="50">
        <f t="shared" si="4"/>
        <v>-510.97889000000004</v>
      </c>
      <c r="W14" s="51">
        <v>47</v>
      </c>
      <c r="X14" s="52">
        <v>86.3</v>
      </c>
      <c r="Y14" s="52">
        <v>47</v>
      </c>
      <c r="Z14" s="52"/>
      <c r="AA14" s="52"/>
      <c r="AB14" s="53">
        <f t="shared" si="5"/>
        <v>0</v>
      </c>
      <c r="AC14" s="52">
        <f t="shared" si="6"/>
        <v>47</v>
      </c>
      <c r="AD14" s="54">
        <f t="shared" si="7"/>
        <v>0</v>
      </c>
    </row>
    <row r="15" spans="2:30" s="41" customFormat="1" ht="15.75" customHeight="1" x14ac:dyDescent="0.25">
      <c r="B15" s="42"/>
      <c r="C15" s="43" t="s">
        <v>34</v>
      </c>
      <c r="D15" s="44">
        <v>32.033000000000001</v>
      </c>
      <c r="E15" s="45">
        <v>1114.8</v>
      </c>
      <c r="F15" s="45">
        <f t="shared" si="0"/>
        <v>35710.388400000003</v>
      </c>
      <c r="G15" s="46">
        <v>35036.9</v>
      </c>
      <c r="H15" s="46">
        <v>25081</v>
      </c>
      <c r="I15" s="46">
        <v>7522.8</v>
      </c>
      <c r="J15" s="47">
        <f t="shared" si="1"/>
        <v>32603.8</v>
      </c>
      <c r="K15" s="47"/>
      <c r="L15" s="47"/>
      <c r="M15" s="47">
        <f t="shared" si="2"/>
        <v>35036.9</v>
      </c>
      <c r="N15" s="47">
        <f t="shared" si="3"/>
        <v>-673.488400000002</v>
      </c>
      <c r="O15" s="47">
        <v>28812.3</v>
      </c>
      <c r="P15" s="46">
        <v>22210.799999999999</v>
      </c>
      <c r="Q15" s="46">
        <v>6601.4</v>
      </c>
      <c r="R15" s="46"/>
      <c r="S15" s="48"/>
      <c r="T15" s="49">
        <v>-894.11485000000005</v>
      </c>
      <c r="U15" s="49">
        <v>-16.016500000000001</v>
      </c>
      <c r="V15" s="50">
        <f t="shared" si="4"/>
        <v>-910.13135</v>
      </c>
      <c r="W15" s="51">
        <v>50</v>
      </c>
      <c r="X15" s="52">
        <v>69</v>
      </c>
      <c r="Y15" s="52">
        <v>50</v>
      </c>
      <c r="Z15" s="52"/>
      <c r="AA15" s="52"/>
      <c r="AB15" s="53">
        <f t="shared" si="5"/>
        <v>0</v>
      </c>
      <c r="AC15" s="52">
        <f t="shared" si="6"/>
        <v>50</v>
      </c>
      <c r="AD15" s="54">
        <f t="shared" si="7"/>
        <v>0</v>
      </c>
    </row>
    <row r="16" spans="2:30" s="41" customFormat="1" ht="15.75" customHeight="1" x14ac:dyDescent="0.25">
      <c r="B16" s="42"/>
      <c r="C16" s="43" t="s">
        <v>35</v>
      </c>
      <c r="D16" s="44">
        <v>57.569000000000003</v>
      </c>
      <c r="E16" s="45">
        <v>912.2</v>
      </c>
      <c r="F16" s="45">
        <f t="shared" si="0"/>
        <v>52514.441800000008</v>
      </c>
      <c r="G16" s="46">
        <v>52512.6</v>
      </c>
      <c r="H16" s="46">
        <v>36217.199999999997</v>
      </c>
      <c r="I16" s="46">
        <v>10843.7</v>
      </c>
      <c r="J16" s="47">
        <f t="shared" si="1"/>
        <v>47060.899999999994</v>
      </c>
      <c r="K16" s="47"/>
      <c r="L16" s="47"/>
      <c r="M16" s="47">
        <f t="shared" si="2"/>
        <v>52512.6</v>
      </c>
      <c r="N16" s="47">
        <f t="shared" si="3"/>
        <v>-1.8418000000092434</v>
      </c>
      <c r="O16" s="47">
        <v>45909</v>
      </c>
      <c r="P16" s="46">
        <v>35397.699999999997</v>
      </c>
      <c r="Q16" s="46">
        <v>10511.3</v>
      </c>
      <c r="R16" s="46"/>
      <c r="S16" s="48"/>
      <c r="T16" s="49">
        <v>-1025.9772</v>
      </c>
      <c r="U16" s="49">
        <v>-23.0276</v>
      </c>
      <c r="V16" s="50">
        <f t="shared" si="4"/>
        <v>-1049.0047999999999</v>
      </c>
      <c r="W16" s="51">
        <v>86</v>
      </c>
      <c r="X16" s="52">
        <v>90.5</v>
      </c>
      <c r="Y16" s="52">
        <v>86</v>
      </c>
      <c r="Z16" s="52"/>
      <c r="AA16" s="52"/>
      <c r="AB16" s="53">
        <f t="shared" si="5"/>
        <v>0</v>
      </c>
      <c r="AC16" s="52">
        <f t="shared" si="6"/>
        <v>86</v>
      </c>
      <c r="AD16" s="54">
        <f t="shared" si="7"/>
        <v>0</v>
      </c>
    </row>
    <row r="17" spans="2:30" s="41" customFormat="1" ht="15.75" customHeight="1" thickBot="1" x14ac:dyDescent="0.3">
      <c r="B17" s="56"/>
      <c r="C17" s="57"/>
      <c r="D17" s="58"/>
      <c r="E17" s="59"/>
      <c r="F17" s="59"/>
      <c r="G17" s="60"/>
      <c r="H17" s="60"/>
      <c r="I17" s="60"/>
      <c r="J17" s="61"/>
      <c r="K17" s="61"/>
      <c r="L17" s="61"/>
      <c r="M17" s="61"/>
      <c r="N17" s="61"/>
      <c r="O17" s="61"/>
      <c r="P17" s="60"/>
      <c r="Q17" s="60"/>
      <c r="R17" s="60"/>
      <c r="S17" s="62"/>
      <c r="T17" s="63"/>
      <c r="U17" s="63"/>
      <c r="V17" s="64"/>
      <c r="W17" s="65"/>
      <c r="X17" s="66"/>
      <c r="Y17" s="66"/>
      <c r="Z17" s="66"/>
      <c r="AA17" s="66"/>
      <c r="AB17" s="67"/>
      <c r="AC17" s="66"/>
      <c r="AD17" s="68"/>
    </row>
    <row r="18" spans="2:30" s="41" customFormat="1" ht="15.75" customHeight="1" x14ac:dyDescent="0.25">
      <c r="B18" s="69"/>
      <c r="C18" s="36" t="s">
        <v>36</v>
      </c>
      <c r="D18" s="70"/>
      <c r="E18" s="71"/>
      <c r="F18" s="71"/>
      <c r="G18" s="72"/>
      <c r="H18" s="72"/>
      <c r="I18" s="72"/>
      <c r="J18" s="73"/>
      <c r="K18" s="73"/>
      <c r="L18" s="73"/>
      <c r="M18" s="73"/>
      <c r="N18" s="73"/>
      <c r="O18" s="73"/>
      <c r="P18" s="72"/>
      <c r="Q18" s="72"/>
      <c r="R18" s="72"/>
      <c r="S18" s="74"/>
      <c r="T18" s="75"/>
      <c r="U18" s="75"/>
      <c r="V18" s="76"/>
      <c r="W18" s="77"/>
      <c r="X18" s="37"/>
      <c r="Y18" s="37"/>
      <c r="Z18" s="37"/>
      <c r="AA18" s="37"/>
      <c r="AB18" s="78"/>
      <c r="AC18" s="37"/>
      <c r="AD18" s="79"/>
    </row>
    <row r="19" spans="2:30" s="41" customFormat="1" ht="15.75" customHeight="1" x14ac:dyDescent="0.25">
      <c r="B19" s="80"/>
      <c r="C19" s="81"/>
      <c r="D19" s="44"/>
      <c r="E19" s="45"/>
      <c r="F19" s="45"/>
      <c r="G19" s="46"/>
      <c r="H19" s="46"/>
      <c r="I19" s="46"/>
      <c r="J19" s="47"/>
      <c r="K19" s="47"/>
      <c r="L19" s="47"/>
      <c r="M19" s="47"/>
      <c r="N19" s="47"/>
      <c r="O19" s="47"/>
      <c r="P19" s="46"/>
      <c r="Q19" s="46"/>
      <c r="R19" s="46"/>
      <c r="S19" s="48"/>
      <c r="T19" s="49"/>
      <c r="U19" s="49"/>
      <c r="V19" s="50"/>
      <c r="W19" s="51"/>
      <c r="X19" s="52"/>
      <c r="Y19" s="52"/>
      <c r="Z19" s="52"/>
      <c r="AA19" s="52"/>
      <c r="AB19" s="53"/>
      <c r="AC19" s="52"/>
      <c r="AD19" s="54"/>
    </row>
    <row r="20" spans="2:30" s="41" customFormat="1" ht="15.75" customHeight="1" x14ac:dyDescent="0.25">
      <c r="B20" s="80"/>
      <c r="C20" s="52" t="s">
        <v>37</v>
      </c>
      <c r="D20" s="44">
        <v>39.56</v>
      </c>
      <c r="E20" s="45">
        <v>1408.5</v>
      </c>
      <c r="F20" s="45">
        <f t="shared" ref="F20:F40" si="8">E20*D20</f>
        <v>55720.26</v>
      </c>
      <c r="G20" s="46">
        <v>55626.8</v>
      </c>
      <c r="H20" s="46">
        <v>35560.6</v>
      </c>
      <c r="I20" s="46">
        <v>10739.3</v>
      </c>
      <c r="J20" s="47">
        <f t="shared" ref="J20:J27" si="9">H20+I20</f>
        <v>46299.899999999994</v>
      </c>
      <c r="K20" s="47"/>
      <c r="L20" s="47">
        <v>-4.5</v>
      </c>
      <c r="M20" s="47">
        <f t="shared" ref="M20:M40" si="10">G20+L20</f>
        <v>55622.3</v>
      </c>
      <c r="N20" s="47">
        <f t="shared" ref="N20:N40" si="11">M20-F20</f>
        <v>-97.959999999999127</v>
      </c>
      <c r="O20" s="47">
        <v>40287.4</v>
      </c>
      <c r="P20" s="46">
        <v>30942.7</v>
      </c>
      <c r="Q20" s="46">
        <v>9344.7000000000007</v>
      </c>
      <c r="R20" s="46"/>
      <c r="S20" s="82"/>
      <c r="T20" s="49">
        <v>-905.06060000000002</v>
      </c>
      <c r="U20" s="49">
        <v>-19.78</v>
      </c>
      <c r="V20" s="50">
        <f t="shared" ref="V20:V29" si="12">T20+U20</f>
        <v>-924.84059999999999</v>
      </c>
      <c r="W20" s="51">
        <v>98</v>
      </c>
      <c r="X20" s="52">
        <v>109</v>
      </c>
      <c r="Y20" s="52">
        <v>88</v>
      </c>
      <c r="Z20" s="52"/>
      <c r="AA20" s="52"/>
      <c r="AB20" s="53">
        <f>(Y20+AA20)-W20</f>
        <v>-10</v>
      </c>
      <c r="AC20" s="52">
        <f>Y20+AA20</f>
        <v>88</v>
      </c>
      <c r="AD20" s="54">
        <f>AC20-W20</f>
        <v>-10</v>
      </c>
    </row>
    <row r="21" spans="2:30" s="41" customFormat="1" ht="15.75" customHeight="1" x14ac:dyDescent="0.25">
      <c r="B21" s="80"/>
      <c r="C21" s="52" t="s">
        <v>38</v>
      </c>
      <c r="D21" s="44">
        <v>4.3390000000000004</v>
      </c>
      <c r="E21" s="45">
        <v>5362</v>
      </c>
      <c r="F21" s="45">
        <f t="shared" si="8"/>
        <v>23265.718000000001</v>
      </c>
      <c r="G21" s="46">
        <v>19602.099999999999</v>
      </c>
      <c r="H21" s="46">
        <v>14449.2</v>
      </c>
      <c r="I21" s="46">
        <v>4303.1000000000004</v>
      </c>
      <c r="J21" s="47">
        <f t="shared" si="9"/>
        <v>18752.300000000003</v>
      </c>
      <c r="K21" s="47"/>
      <c r="L21" s="47">
        <v>-370.2</v>
      </c>
      <c r="M21" s="47">
        <f t="shared" si="10"/>
        <v>19231.899999999998</v>
      </c>
      <c r="N21" s="47">
        <f t="shared" si="11"/>
        <v>-4033.8180000000029</v>
      </c>
      <c r="O21" s="47">
        <v>11610.1</v>
      </c>
      <c r="P21" s="46">
        <v>8972.7999999999993</v>
      </c>
      <c r="Q21" s="46">
        <v>2637.3</v>
      </c>
      <c r="R21" s="46"/>
      <c r="S21" s="46"/>
      <c r="T21" s="49">
        <v>-357.99340000000001</v>
      </c>
      <c r="U21" s="49">
        <v>-2.6034000000000002</v>
      </c>
      <c r="V21" s="50">
        <f t="shared" si="12"/>
        <v>-360.59680000000003</v>
      </c>
      <c r="W21" s="51">
        <v>23</v>
      </c>
      <c r="X21" s="52">
        <v>62.25</v>
      </c>
      <c r="Y21" s="52">
        <v>23</v>
      </c>
      <c r="Z21" s="52"/>
      <c r="AA21" s="52"/>
      <c r="AB21" s="53">
        <f>(Y21+AA21)-W21</f>
        <v>0</v>
      </c>
      <c r="AC21" s="83">
        <f>Y21+AA21</f>
        <v>23</v>
      </c>
      <c r="AD21" s="54">
        <f>AC21-W21</f>
        <v>0</v>
      </c>
    </row>
    <row r="22" spans="2:30" s="41" customFormat="1" ht="15.75" customHeight="1" x14ac:dyDescent="0.25">
      <c r="B22" s="80"/>
      <c r="C22" s="84" t="s">
        <v>39</v>
      </c>
      <c r="D22" s="44">
        <v>17.082999999999998</v>
      </c>
      <c r="E22" s="45">
        <v>1977.4</v>
      </c>
      <c r="F22" s="45">
        <f t="shared" si="8"/>
        <v>33779.924200000001</v>
      </c>
      <c r="G22" s="46">
        <v>28577.200000000001</v>
      </c>
      <c r="H22" s="46">
        <v>19985.8</v>
      </c>
      <c r="I22" s="46">
        <v>6141.4</v>
      </c>
      <c r="J22" s="47">
        <f t="shared" si="9"/>
        <v>26127.199999999997</v>
      </c>
      <c r="K22" s="47">
        <f>-423.4-126.7</f>
        <v>-550.1</v>
      </c>
      <c r="L22" s="47">
        <v>-605.29999999999995</v>
      </c>
      <c r="M22" s="47">
        <f t="shared" si="10"/>
        <v>27971.9</v>
      </c>
      <c r="N22" s="47">
        <f t="shared" si="11"/>
        <v>-5808.0241999999998</v>
      </c>
      <c r="O22" s="47">
        <v>20529.900000000001</v>
      </c>
      <c r="P22" s="46">
        <v>15727.6</v>
      </c>
      <c r="Q22" s="46">
        <v>4802.3</v>
      </c>
      <c r="R22" s="46"/>
      <c r="S22" s="46"/>
      <c r="T22" s="49">
        <v>-418.79516999999998</v>
      </c>
      <c r="U22" s="49">
        <v>-10.2498</v>
      </c>
      <c r="V22" s="50">
        <f t="shared" si="12"/>
        <v>-429.04496999999998</v>
      </c>
      <c r="W22" s="51">
        <v>51</v>
      </c>
      <c r="X22" s="52">
        <v>65</v>
      </c>
      <c r="Y22" s="52">
        <v>44</v>
      </c>
      <c r="Z22" s="52">
        <v>-2</v>
      </c>
      <c r="AA22" s="52"/>
      <c r="AB22" s="53">
        <f t="shared" ref="AB22:AB40" si="13">(Y22+AA22)-W22</f>
        <v>-7</v>
      </c>
      <c r="AC22" s="83">
        <f>Y22+AA22</f>
        <v>44</v>
      </c>
      <c r="AD22" s="54">
        <f t="shared" ref="AD22:AD40" si="14">AC22-W22</f>
        <v>-7</v>
      </c>
    </row>
    <row r="23" spans="2:30" s="41" customFormat="1" ht="15.75" customHeight="1" x14ac:dyDescent="0.25">
      <c r="B23" s="80"/>
      <c r="C23" s="85" t="s">
        <v>40</v>
      </c>
      <c r="D23" s="44">
        <v>15.666</v>
      </c>
      <c r="E23" s="45">
        <v>2270.8000000000002</v>
      </c>
      <c r="F23" s="45">
        <f t="shared" si="8"/>
        <v>35574.352800000001</v>
      </c>
      <c r="G23" s="46">
        <v>35314.199999999997</v>
      </c>
      <c r="H23" s="46">
        <v>21641</v>
      </c>
      <c r="I23" s="46">
        <v>6374.4</v>
      </c>
      <c r="J23" s="47">
        <f t="shared" si="9"/>
        <v>28015.4</v>
      </c>
      <c r="K23" s="47"/>
      <c r="L23" s="47">
        <v>0</v>
      </c>
      <c r="M23" s="47">
        <f t="shared" si="10"/>
        <v>35314.199999999997</v>
      </c>
      <c r="N23" s="47">
        <f t="shared" si="11"/>
        <v>-260.15280000000348</v>
      </c>
      <c r="O23" s="47">
        <v>24345.599999999999</v>
      </c>
      <c r="P23" s="46">
        <v>18796.8</v>
      </c>
      <c r="Q23" s="46">
        <v>5548.8</v>
      </c>
      <c r="R23" s="46"/>
      <c r="S23" s="86"/>
      <c r="T23" s="49">
        <v>-409.09802999999999</v>
      </c>
      <c r="U23" s="49">
        <v>-9.3995999999999995</v>
      </c>
      <c r="V23" s="50">
        <f t="shared" si="12"/>
        <v>-418.49763000000002</v>
      </c>
      <c r="W23" s="51">
        <v>56</v>
      </c>
      <c r="X23" s="52">
        <v>68.25</v>
      </c>
      <c r="Y23" s="52">
        <v>53</v>
      </c>
      <c r="Z23" s="52"/>
      <c r="AA23" s="52"/>
      <c r="AB23" s="53">
        <f t="shared" si="13"/>
        <v>-3</v>
      </c>
      <c r="AC23" s="83">
        <f t="shared" ref="AC23:AC39" si="15">Y23+AA23</f>
        <v>53</v>
      </c>
      <c r="AD23" s="54">
        <f t="shared" si="14"/>
        <v>-3</v>
      </c>
    </row>
    <row r="24" spans="2:30" s="41" customFormat="1" ht="15.75" customHeight="1" x14ac:dyDescent="0.25">
      <c r="B24" s="80"/>
      <c r="C24" s="52" t="s">
        <v>41</v>
      </c>
      <c r="D24" s="44">
        <v>14.553000000000001</v>
      </c>
      <c r="E24" s="45">
        <v>2227.3000000000002</v>
      </c>
      <c r="F24" s="45">
        <f t="shared" si="8"/>
        <v>32413.896900000003</v>
      </c>
      <c r="G24" s="46">
        <v>29890.6</v>
      </c>
      <c r="H24" s="46">
        <v>20213.5</v>
      </c>
      <c r="I24" s="46">
        <v>6149</v>
      </c>
      <c r="J24" s="47">
        <f t="shared" si="9"/>
        <v>26362.5</v>
      </c>
      <c r="K24" s="47"/>
      <c r="L24" s="47">
        <v>-35</v>
      </c>
      <c r="M24" s="47">
        <f t="shared" si="10"/>
        <v>29855.599999999999</v>
      </c>
      <c r="N24" s="47">
        <f t="shared" si="11"/>
        <v>-2558.2969000000048</v>
      </c>
      <c r="O24" s="47">
        <v>22359</v>
      </c>
      <c r="P24" s="46">
        <v>17128</v>
      </c>
      <c r="Q24" s="46">
        <v>5231</v>
      </c>
      <c r="R24" s="46"/>
      <c r="S24" s="86"/>
      <c r="T24" s="49">
        <v>-405.27312000000001</v>
      </c>
      <c r="U24" s="49">
        <v>-8.7317999999999998</v>
      </c>
      <c r="V24" s="50">
        <f t="shared" si="12"/>
        <v>-414.00492000000003</v>
      </c>
      <c r="W24" s="51">
        <v>46</v>
      </c>
      <c r="X24" s="52">
        <v>60</v>
      </c>
      <c r="Y24" s="52">
        <v>46</v>
      </c>
      <c r="Z24" s="52"/>
      <c r="AA24" s="52"/>
      <c r="AB24" s="53">
        <f t="shared" si="13"/>
        <v>0</v>
      </c>
      <c r="AC24" s="83">
        <f t="shared" si="15"/>
        <v>46</v>
      </c>
      <c r="AD24" s="54">
        <f t="shared" si="14"/>
        <v>0</v>
      </c>
    </row>
    <row r="25" spans="2:30" s="41" customFormat="1" ht="15.75" customHeight="1" x14ac:dyDescent="0.25">
      <c r="B25" s="80"/>
      <c r="C25" s="52" t="s">
        <v>42</v>
      </c>
      <c r="D25" s="44">
        <v>37.603999999999999</v>
      </c>
      <c r="E25" s="45">
        <v>1591.1</v>
      </c>
      <c r="F25" s="45">
        <f t="shared" si="8"/>
        <v>59831.724399999992</v>
      </c>
      <c r="G25" s="46">
        <v>64120.2</v>
      </c>
      <c r="H25" s="46">
        <v>49027.9</v>
      </c>
      <c r="I25" s="46">
        <v>14773.6</v>
      </c>
      <c r="J25" s="47">
        <f t="shared" si="9"/>
        <v>63801.5</v>
      </c>
      <c r="K25" s="47">
        <f>349.6+105.8-4254.4-1284.8</f>
        <v>-5083.7999999999993</v>
      </c>
      <c r="L25" s="47">
        <f>547.3-6645</f>
        <v>-6097.7</v>
      </c>
      <c r="M25" s="47">
        <f t="shared" si="10"/>
        <v>58022.5</v>
      </c>
      <c r="N25" s="47">
        <f t="shared" si="11"/>
        <v>-1809.2243999999919</v>
      </c>
      <c r="O25" s="47">
        <v>47434.7</v>
      </c>
      <c r="P25" s="46">
        <v>36440.1</v>
      </c>
      <c r="Q25" s="46">
        <v>10994.6</v>
      </c>
      <c r="R25" s="46">
        <f>455.4-3191.1</f>
        <v>-2735.7</v>
      </c>
      <c r="S25" s="86"/>
      <c r="T25" s="49">
        <v>-898.33865000000003</v>
      </c>
      <c r="U25" s="49">
        <v>-18.802</v>
      </c>
      <c r="V25" s="50">
        <f t="shared" si="12"/>
        <v>-917.14065000000005</v>
      </c>
      <c r="W25" s="51">
        <v>74</v>
      </c>
      <c r="X25" s="52">
        <v>117.25</v>
      </c>
      <c r="Y25" s="52">
        <v>80</v>
      </c>
      <c r="Z25" s="52">
        <f>-13+1</f>
        <v>-12</v>
      </c>
      <c r="AA25" s="52">
        <f>1-7</f>
        <v>-6</v>
      </c>
      <c r="AB25" s="53">
        <f t="shared" si="13"/>
        <v>0</v>
      </c>
      <c r="AC25" s="87">
        <f t="shared" si="15"/>
        <v>74</v>
      </c>
      <c r="AD25" s="54">
        <f t="shared" si="14"/>
        <v>0</v>
      </c>
    </row>
    <row r="26" spans="2:30" s="41" customFormat="1" ht="15.75" customHeight="1" x14ac:dyDescent="0.25">
      <c r="B26" s="80"/>
      <c r="C26" s="52" t="s">
        <v>43</v>
      </c>
      <c r="D26" s="44">
        <v>8.0749999999999993</v>
      </c>
      <c r="E26" s="45">
        <v>3830.2</v>
      </c>
      <c r="F26" s="45">
        <f t="shared" si="8"/>
        <v>30928.864999999994</v>
      </c>
      <c r="G26" s="46">
        <v>27143.1</v>
      </c>
      <c r="H26" s="46">
        <v>15111.2</v>
      </c>
      <c r="I26" s="46">
        <v>4774.1000000000004</v>
      </c>
      <c r="J26" s="47">
        <f t="shared" si="9"/>
        <v>19885.300000000003</v>
      </c>
      <c r="K26" s="47">
        <f>144.3+43.3</f>
        <v>187.60000000000002</v>
      </c>
      <c r="L26" s="47">
        <v>-18</v>
      </c>
      <c r="M26" s="47">
        <f t="shared" si="10"/>
        <v>27125.1</v>
      </c>
      <c r="N26" s="47">
        <f t="shared" si="11"/>
        <v>-3803.7649999999958</v>
      </c>
      <c r="O26" s="47">
        <v>16081</v>
      </c>
      <c r="P26" s="46">
        <v>12242.4</v>
      </c>
      <c r="Q26" s="46">
        <v>3838.5</v>
      </c>
      <c r="R26" s="46"/>
      <c r="S26" s="46"/>
      <c r="T26" s="49">
        <v>-383.01094999999998</v>
      </c>
      <c r="U26" s="49">
        <v>-4.8449999999999998</v>
      </c>
      <c r="V26" s="50">
        <f t="shared" si="12"/>
        <v>-387.85595000000001</v>
      </c>
      <c r="W26" s="51">
        <v>48</v>
      </c>
      <c r="X26" s="52">
        <v>60</v>
      </c>
      <c r="Y26" s="52">
        <v>40</v>
      </c>
      <c r="Z26" s="52">
        <v>1</v>
      </c>
      <c r="AA26" s="52"/>
      <c r="AB26" s="53">
        <f>(Y26+AA26)-W26</f>
        <v>-8</v>
      </c>
      <c r="AC26" s="83">
        <f t="shared" si="15"/>
        <v>40</v>
      </c>
      <c r="AD26" s="54">
        <f t="shared" si="14"/>
        <v>-8</v>
      </c>
    </row>
    <row r="27" spans="2:30" s="41" customFormat="1" ht="15.75" customHeight="1" x14ac:dyDescent="0.25">
      <c r="B27" s="80"/>
      <c r="C27" s="52" t="s">
        <v>44</v>
      </c>
      <c r="D27" s="44">
        <v>20.916</v>
      </c>
      <c r="E27" s="45">
        <v>2018.2</v>
      </c>
      <c r="F27" s="45">
        <f t="shared" si="8"/>
        <v>42212.671200000004</v>
      </c>
      <c r="G27" s="46">
        <v>43360.5</v>
      </c>
      <c r="H27" s="46">
        <v>24013.8</v>
      </c>
      <c r="I27" s="46">
        <v>7260.9</v>
      </c>
      <c r="J27" s="47">
        <f t="shared" si="9"/>
        <v>31274.699999999997</v>
      </c>
      <c r="K27" s="47">
        <f>127.1+37.4-231.9-69</f>
        <v>-136.4</v>
      </c>
      <c r="L27" s="47">
        <f>170.6-1613</f>
        <v>-1442.4</v>
      </c>
      <c r="M27" s="47">
        <f t="shared" si="10"/>
        <v>41918.1</v>
      </c>
      <c r="N27" s="47">
        <f t="shared" si="11"/>
        <v>-294.57120000000577</v>
      </c>
      <c r="O27" s="47">
        <v>23278.3</v>
      </c>
      <c r="P27" s="46">
        <v>17369</v>
      </c>
      <c r="Q27" s="46">
        <v>5909.3</v>
      </c>
      <c r="R27" s="46"/>
      <c r="S27" s="46"/>
      <c r="T27" s="49">
        <v>-431.96758</v>
      </c>
      <c r="U27" s="49">
        <v>-10.458</v>
      </c>
      <c r="V27" s="50">
        <f t="shared" si="12"/>
        <v>-442.42558000000002</v>
      </c>
      <c r="W27" s="51">
        <v>50</v>
      </c>
      <c r="X27" s="52">
        <v>90</v>
      </c>
      <c r="Y27" s="52">
        <v>49</v>
      </c>
      <c r="Z27" s="52">
        <f>0.9-1.5</f>
        <v>-0.6</v>
      </c>
      <c r="AA27" s="52"/>
      <c r="AB27" s="53">
        <f t="shared" si="13"/>
        <v>-1</v>
      </c>
      <c r="AC27" s="83">
        <f t="shared" si="15"/>
        <v>49</v>
      </c>
      <c r="AD27" s="54">
        <f t="shared" si="14"/>
        <v>-1</v>
      </c>
    </row>
    <row r="28" spans="2:30" s="41" customFormat="1" ht="15.75" customHeight="1" x14ac:dyDescent="0.25">
      <c r="B28" s="80"/>
      <c r="C28" s="43" t="s">
        <v>45</v>
      </c>
      <c r="D28" s="44">
        <v>19.722999999999999</v>
      </c>
      <c r="E28" s="45">
        <v>1870.4</v>
      </c>
      <c r="F28" s="45">
        <f t="shared" si="8"/>
        <v>36889.8992</v>
      </c>
      <c r="G28" s="46">
        <v>34572.5</v>
      </c>
      <c r="H28" s="46">
        <v>24766.2</v>
      </c>
      <c r="I28" s="46">
        <v>7298.8</v>
      </c>
      <c r="J28" s="47">
        <v>6204.1</v>
      </c>
      <c r="K28" s="47">
        <f>218.2+65.9</f>
        <v>284.10000000000002</v>
      </c>
      <c r="L28" s="47"/>
      <c r="M28" s="47">
        <f t="shared" si="10"/>
        <v>34572.5</v>
      </c>
      <c r="N28" s="47">
        <f t="shared" si="11"/>
        <v>-2317.3991999999998</v>
      </c>
      <c r="O28" s="47">
        <v>27220.7</v>
      </c>
      <c r="P28" s="46">
        <v>20990.3</v>
      </c>
      <c r="Q28" s="46">
        <v>6230.4</v>
      </c>
      <c r="R28" s="46">
        <v>284.2</v>
      </c>
      <c r="S28" s="46"/>
      <c r="T28" s="49">
        <v>-427.86774000000003</v>
      </c>
      <c r="U28" s="49">
        <v>-11.8338</v>
      </c>
      <c r="V28" s="50">
        <f t="shared" si="12"/>
        <v>-439.70154000000002</v>
      </c>
      <c r="W28" s="51">
        <v>57</v>
      </c>
      <c r="X28" s="52">
        <v>74</v>
      </c>
      <c r="Y28" s="52">
        <v>53</v>
      </c>
      <c r="Z28" s="52">
        <v>1</v>
      </c>
      <c r="AA28" s="52"/>
      <c r="AB28" s="53">
        <f t="shared" si="13"/>
        <v>-4</v>
      </c>
      <c r="AC28" s="83">
        <f t="shared" si="15"/>
        <v>53</v>
      </c>
      <c r="AD28" s="54">
        <f t="shared" si="14"/>
        <v>-4</v>
      </c>
    </row>
    <row r="29" spans="2:30" s="41" customFormat="1" ht="15.75" customHeight="1" x14ac:dyDescent="0.25">
      <c r="B29" s="80"/>
      <c r="C29" s="84" t="s">
        <v>46</v>
      </c>
      <c r="D29" s="44">
        <v>18.294</v>
      </c>
      <c r="E29" s="45">
        <v>1734.5</v>
      </c>
      <c r="F29" s="45">
        <f t="shared" si="8"/>
        <v>31730.942999999999</v>
      </c>
      <c r="G29" s="46">
        <v>31673.5</v>
      </c>
      <c r="H29" s="46">
        <v>18197.599999999999</v>
      </c>
      <c r="I29" s="46">
        <v>5443.5</v>
      </c>
      <c r="J29" s="47">
        <f t="shared" ref="J29:J39" si="16">H29+I29</f>
        <v>23641.1</v>
      </c>
      <c r="K29" s="47"/>
      <c r="L29" s="47">
        <v>-68.400000000000006</v>
      </c>
      <c r="M29" s="47">
        <f t="shared" si="10"/>
        <v>31605.1</v>
      </c>
      <c r="N29" s="47">
        <f t="shared" si="11"/>
        <v>-125.84300000000076</v>
      </c>
      <c r="O29" s="47">
        <v>21868.9</v>
      </c>
      <c r="P29" s="46">
        <v>16829.900000000001</v>
      </c>
      <c r="Q29" s="46">
        <v>5039</v>
      </c>
      <c r="R29" s="46"/>
      <c r="S29" s="46"/>
      <c r="T29" s="49">
        <v>-418.12936000000002</v>
      </c>
      <c r="U29" s="49">
        <v>-10.9764</v>
      </c>
      <c r="V29" s="50">
        <f t="shared" si="12"/>
        <v>-429.10576000000003</v>
      </c>
      <c r="W29" s="51">
        <v>68</v>
      </c>
      <c r="X29" s="52">
        <v>71.5</v>
      </c>
      <c r="Y29" s="52">
        <v>68</v>
      </c>
      <c r="Z29" s="52"/>
      <c r="AA29" s="52"/>
      <c r="AB29" s="53">
        <f t="shared" si="13"/>
        <v>0</v>
      </c>
      <c r="AC29" s="83">
        <f t="shared" si="15"/>
        <v>68</v>
      </c>
      <c r="AD29" s="54">
        <f t="shared" si="14"/>
        <v>0</v>
      </c>
    </row>
    <row r="30" spans="2:30" s="41" customFormat="1" ht="15.75" customHeight="1" x14ac:dyDescent="0.25">
      <c r="B30" s="80"/>
      <c r="C30" s="52" t="s">
        <v>47</v>
      </c>
      <c r="D30" s="44">
        <v>7.976</v>
      </c>
      <c r="E30" s="45">
        <v>4136.8999999999996</v>
      </c>
      <c r="F30" s="45">
        <f t="shared" si="8"/>
        <v>32995.914399999994</v>
      </c>
      <c r="G30" s="46">
        <v>30819.5</v>
      </c>
      <c r="H30" s="46">
        <v>19361</v>
      </c>
      <c r="I30" s="46">
        <v>5782.6</v>
      </c>
      <c r="J30" s="47">
        <f t="shared" si="16"/>
        <v>25143.599999999999</v>
      </c>
      <c r="K30" s="47">
        <f>-102.9-31.1</f>
        <v>-134</v>
      </c>
      <c r="L30" s="47">
        <v>-198.1</v>
      </c>
      <c r="M30" s="47">
        <f t="shared" si="10"/>
        <v>30621.4</v>
      </c>
      <c r="N30" s="47">
        <f t="shared" si="11"/>
        <v>-2374.5143999999927</v>
      </c>
      <c r="O30" s="47">
        <v>20323.5</v>
      </c>
      <c r="P30" s="46">
        <v>15828.6</v>
      </c>
      <c r="Q30" s="46">
        <v>4494.8999999999996</v>
      </c>
      <c r="R30" s="46"/>
      <c r="S30" s="46"/>
      <c r="T30" s="49">
        <v>-370.49223999999998</v>
      </c>
      <c r="U30" s="49">
        <v>-4.7855999999999996</v>
      </c>
      <c r="V30" s="50">
        <f>U30+T30</f>
        <v>-375.27783999999997</v>
      </c>
      <c r="W30" s="51">
        <v>47</v>
      </c>
      <c r="X30" s="52">
        <v>63.5</v>
      </c>
      <c r="Y30" s="52">
        <v>37</v>
      </c>
      <c r="Z30" s="52">
        <v>-0.5</v>
      </c>
      <c r="AA30" s="52"/>
      <c r="AB30" s="53">
        <f t="shared" si="13"/>
        <v>-10</v>
      </c>
      <c r="AC30" s="83">
        <f t="shared" si="15"/>
        <v>37</v>
      </c>
      <c r="AD30" s="54">
        <f t="shared" si="14"/>
        <v>-10</v>
      </c>
    </row>
    <row r="31" spans="2:30" s="41" customFormat="1" ht="15.75" customHeight="1" x14ac:dyDescent="0.25">
      <c r="B31" s="80"/>
      <c r="C31" s="52" t="s">
        <v>48</v>
      </c>
      <c r="D31" s="44">
        <v>9.3019999999999996</v>
      </c>
      <c r="E31" s="45">
        <v>3106.3</v>
      </c>
      <c r="F31" s="45">
        <f t="shared" si="8"/>
        <v>28894.802599999999</v>
      </c>
      <c r="G31" s="46">
        <v>28070</v>
      </c>
      <c r="H31" s="46">
        <v>18474</v>
      </c>
      <c r="I31" s="46">
        <v>5535.2</v>
      </c>
      <c r="J31" s="47">
        <f t="shared" si="16"/>
        <v>24009.200000000001</v>
      </c>
      <c r="K31" s="47"/>
      <c r="L31" s="47"/>
      <c r="M31" s="47">
        <f t="shared" si="10"/>
        <v>28070</v>
      </c>
      <c r="N31" s="47">
        <f t="shared" si="11"/>
        <v>-824.80259999999907</v>
      </c>
      <c r="O31" s="47">
        <v>18046</v>
      </c>
      <c r="P31" s="46">
        <v>13834.6</v>
      </c>
      <c r="Q31" s="46">
        <v>4211.3</v>
      </c>
      <c r="R31" s="46"/>
      <c r="S31" s="46"/>
      <c r="T31" s="49">
        <v>-387.22764000000001</v>
      </c>
      <c r="U31" s="49">
        <v>-5.5811999999999999</v>
      </c>
      <c r="V31" s="50">
        <f t="shared" ref="V31:V40" si="17">T31+U31</f>
        <v>-392.80884000000003</v>
      </c>
      <c r="W31" s="51">
        <v>42</v>
      </c>
      <c r="X31" s="52">
        <v>64.25</v>
      </c>
      <c r="Y31" s="52">
        <v>42</v>
      </c>
      <c r="Z31" s="52"/>
      <c r="AA31" s="52"/>
      <c r="AB31" s="53">
        <f t="shared" si="13"/>
        <v>0</v>
      </c>
      <c r="AC31" s="83">
        <f t="shared" si="15"/>
        <v>42</v>
      </c>
      <c r="AD31" s="54">
        <f t="shared" si="14"/>
        <v>0</v>
      </c>
    </row>
    <row r="32" spans="2:30" s="41" customFormat="1" ht="15.75" customHeight="1" x14ac:dyDescent="0.25">
      <c r="B32" s="80"/>
      <c r="C32" s="52" t="s">
        <v>49</v>
      </c>
      <c r="D32" s="44">
        <v>5.649</v>
      </c>
      <c r="E32" s="45">
        <v>4920.1000000000004</v>
      </c>
      <c r="F32" s="45">
        <f t="shared" si="8"/>
        <v>27793.644900000003</v>
      </c>
      <c r="G32" s="46">
        <v>27508.5</v>
      </c>
      <c r="H32" s="46">
        <v>16585.099999999999</v>
      </c>
      <c r="I32" s="46">
        <v>4960.8999999999996</v>
      </c>
      <c r="J32" s="47">
        <f t="shared" si="16"/>
        <v>21546</v>
      </c>
      <c r="K32" s="47">
        <f>-26.6-8</f>
        <v>-34.6</v>
      </c>
      <c r="L32" s="47"/>
      <c r="M32" s="47">
        <f t="shared" si="10"/>
        <v>27508.5</v>
      </c>
      <c r="N32" s="47">
        <f t="shared" si="11"/>
        <v>-285.14490000000296</v>
      </c>
      <c r="O32" s="47">
        <v>14444.6</v>
      </c>
      <c r="P32" s="46">
        <v>11094.4</v>
      </c>
      <c r="Q32" s="46">
        <v>3350.1</v>
      </c>
      <c r="R32" s="46">
        <f>-34.6</f>
        <v>-34.6</v>
      </c>
      <c r="S32" s="46"/>
      <c r="T32" s="49">
        <v>-362.49531999999999</v>
      </c>
      <c r="U32" s="49">
        <v>-3.3894000000000002</v>
      </c>
      <c r="V32" s="50">
        <f t="shared" si="17"/>
        <v>-365.88472000000002</v>
      </c>
      <c r="W32" s="51">
        <v>30</v>
      </c>
      <c r="X32" s="52">
        <v>63</v>
      </c>
      <c r="Y32" s="52">
        <v>30</v>
      </c>
      <c r="Z32" s="52">
        <v>-1</v>
      </c>
      <c r="AA32" s="52"/>
      <c r="AB32" s="53">
        <f t="shared" si="13"/>
        <v>0</v>
      </c>
      <c r="AC32" s="83">
        <f t="shared" si="15"/>
        <v>30</v>
      </c>
      <c r="AD32" s="54">
        <f t="shared" si="14"/>
        <v>0</v>
      </c>
    </row>
    <row r="33" spans="1:30" s="41" customFormat="1" ht="15.75" customHeight="1" x14ac:dyDescent="0.25">
      <c r="B33" s="80"/>
      <c r="C33" s="52" t="s">
        <v>50</v>
      </c>
      <c r="D33" s="44">
        <v>23.497</v>
      </c>
      <c r="E33" s="45">
        <v>1708.3</v>
      </c>
      <c r="F33" s="45">
        <f t="shared" si="8"/>
        <v>40139.9251</v>
      </c>
      <c r="G33" s="46">
        <v>39622.699999999997</v>
      </c>
      <c r="H33" s="46">
        <v>27511.9</v>
      </c>
      <c r="I33" s="46">
        <v>8136</v>
      </c>
      <c r="J33" s="47">
        <f t="shared" si="16"/>
        <v>35647.9</v>
      </c>
      <c r="K33" s="47">
        <f>-692.5-208.7</f>
        <v>-901.2</v>
      </c>
      <c r="L33" s="47">
        <v>-811.9</v>
      </c>
      <c r="M33" s="47">
        <f t="shared" si="10"/>
        <v>38810.799999999996</v>
      </c>
      <c r="N33" s="47">
        <f t="shared" si="11"/>
        <v>-1329.1251000000047</v>
      </c>
      <c r="O33" s="47">
        <v>34589.199999999997</v>
      </c>
      <c r="P33" s="46">
        <v>26698.799999999999</v>
      </c>
      <c r="Q33" s="46">
        <v>7890.4</v>
      </c>
      <c r="R33" s="46">
        <v>-858.3</v>
      </c>
      <c r="S33" s="46"/>
      <c r="T33" s="49">
        <v>-440.83739000000003</v>
      </c>
      <c r="U33" s="49">
        <v>-11.7485</v>
      </c>
      <c r="V33" s="50">
        <f t="shared" si="17"/>
        <v>-452.58589000000001</v>
      </c>
      <c r="W33" s="51">
        <v>72</v>
      </c>
      <c r="X33" s="52">
        <v>63</v>
      </c>
      <c r="Y33" s="52">
        <v>62</v>
      </c>
      <c r="Z33" s="52">
        <v>-2.35</v>
      </c>
      <c r="AA33" s="52">
        <v>-1.19</v>
      </c>
      <c r="AB33" s="53">
        <f>(Y33+AA33)-W33</f>
        <v>-11.189999999999998</v>
      </c>
      <c r="AC33" s="83">
        <f t="shared" si="15"/>
        <v>60.81</v>
      </c>
      <c r="AD33" s="54">
        <v>-11</v>
      </c>
    </row>
    <row r="34" spans="1:30" s="41" customFormat="1" ht="15.75" customHeight="1" x14ac:dyDescent="0.25">
      <c r="B34" s="80"/>
      <c r="C34" s="52" t="s">
        <v>51</v>
      </c>
      <c r="D34" s="44">
        <v>10.48</v>
      </c>
      <c r="E34" s="45">
        <v>3047.1</v>
      </c>
      <c r="F34" s="45">
        <f t="shared" si="8"/>
        <v>31933.608</v>
      </c>
      <c r="G34" s="46">
        <v>28312.2</v>
      </c>
      <c r="H34" s="46">
        <v>19232.900000000001</v>
      </c>
      <c r="I34" s="46">
        <v>5708.8</v>
      </c>
      <c r="J34" s="47">
        <f t="shared" si="16"/>
        <v>24941.7</v>
      </c>
      <c r="K34" s="47">
        <f>-214.1-64.7</f>
        <v>-278.8</v>
      </c>
      <c r="L34" s="47">
        <v>-291.2</v>
      </c>
      <c r="M34" s="47">
        <f t="shared" si="10"/>
        <v>28021</v>
      </c>
      <c r="N34" s="47">
        <f t="shared" si="11"/>
        <v>-3912.6080000000002</v>
      </c>
      <c r="O34" s="47">
        <v>20879.900000000001</v>
      </c>
      <c r="P34" s="46">
        <v>16109.3</v>
      </c>
      <c r="Q34" s="46">
        <v>4770.5</v>
      </c>
      <c r="R34" s="46"/>
      <c r="S34" s="46"/>
      <c r="T34" s="49">
        <v>-391.27593000000002</v>
      </c>
      <c r="U34" s="49">
        <v>-6.2880000000000003</v>
      </c>
      <c r="V34" s="50">
        <f t="shared" si="17"/>
        <v>-397.56393000000003</v>
      </c>
      <c r="W34" s="51">
        <v>47</v>
      </c>
      <c r="X34" s="52">
        <v>69</v>
      </c>
      <c r="Y34" s="52">
        <v>47</v>
      </c>
      <c r="Z34" s="52">
        <v>-1.65</v>
      </c>
      <c r="AA34" s="52"/>
      <c r="AB34" s="53">
        <f t="shared" si="13"/>
        <v>0</v>
      </c>
      <c r="AC34" s="83">
        <f t="shared" si="15"/>
        <v>47</v>
      </c>
      <c r="AD34" s="54">
        <f t="shared" si="14"/>
        <v>0</v>
      </c>
    </row>
    <row r="35" spans="1:30" s="41" customFormat="1" ht="15.75" customHeight="1" x14ac:dyDescent="0.25">
      <c r="B35" s="80"/>
      <c r="C35" s="52" t="s">
        <v>52</v>
      </c>
      <c r="D35" s="44">
        <v>32.704000000000001</v>
      </c>
      <c r="E35" s="45">
        <v>1814.1</v>
      </c>
      <c r="F35" s="45">
        <f t="shared" si="8"/>
        <v>59328.326399999998</v>
      </c>
      <c r="G35" s="46">
        <v>53225.1</v>
      </c>
      <c r="H35" s="46">
        <v>36870.699999999997</v>
      </c>
      <c r="I35" s="46">
        <v>10985</v>
      </c>
      <c r="J35" s="47">
        <f t="shared" si="16"/>
        <v>47855.7</v>
      </c>
      <c r="K35" s="47">
        <f>-691.2-208.8</f>
        <v>-900</v>
      </c>
      <c r="L35" s="47"/>
      <c r="M35" s="47">
        <f t="shared" si="10"/>
        <v>53225.1</v>
      </c>
      <c r="N35" s="47">
        <f t="shared" si="11"/>
        <v>-6103.2263999999996</v>
      </c>
      <c r="O35" s="47">
        <v>35178.5</v>
      </c>
      <c r="P35" s="46">
        <v>27079.200000000001</v>
      </c>
      <c r="Q35" s="46">
        <v>8099.4</v>
      </c>
      <c r="R35" s="46">
        <v>-600</v>
      </c>
      <c r="S35" s="46"/>
      <c r="T35" s="49">
        <v>-881.49941000000001</v>
      </c>
      <c r="U35" s="49">
        <v>-16.352</v>
      </c>
      <c r="V35" s="50">
        <f t="shared" si="17"/>
        <v>-897.85140999999999</v>
      </c>
      <c r="W35" s="51">
        <v>73</v>
      </c>
      <c r="X35" s="52">
        <v>111.25</v>
      </c>
      <c r="Y35" s="52">
        <v>69</v>
      </c>
      <c r="Z35" s="52">
        <v>-3</v>
      </c>
      <c r="AA35" s="52"/>
      <c r="AB35" s="53">
        <f t="shared" si="13"/>
        <v>-4</v>
      </c>
      <c r="AC35" s="83">
        <f t="shared" si="15"/>
        <v>69</v>
      </c>
      <c r="AD35" s="54">
        <f t="shared" si="14"/>
        <v>-4</v>
      </c>
    </row>
    <row r="36" spans="1:30" s="41" customFormat="1" ht="15.75" customHeight="1" x14ac:dyDescent="0.25">
      <c r="B36" s="80"/>
      <c r="C36" s="52" t="s">
        <v>53</v>
      </c>
      <c r="D36" s="44">
        <v>10.58</v>
      </c>
      <c r="E36" s="45">
        <v>3019</v>
      </c>
      <c r="F36" s="45">
        <f t="shared" si="8"/>
        <v>31941.02</v>
      </c>
      <c r="G36" s="46">
        <v>30455.3</v>
      </c>
      <c r="H36" s="46">
        <v>17156.900000000001</v>
      </c>
      <c r="I36" s="46">
        <v>5146</v>
      </c>
      <c r="J36" s="47">
        <f t="shared" si="16"/>
        <v>22302.9</v>
      </c>
      <c r="K36" s="47"/>
      <c r="L36" s="47"/>
      <c r="M36" s="47">
        <f t="shared" si="10"/>
        <v>30455.3</v>
      </c>
      <c r="N36" s="47">
        <f t="shared" si="11"/>
        <v>-1485.7200000000012</v>
      </c>
      <c r="O36" s="47">
        <v>19304.099999999999</v>
      </c>
      <c r="P36" s="46">
        <v>14852.5</v>
      </c>
      <c r="Q36" s="46">
        <v>4451.6000000000004</v>
      </c>
      <c r="R36" s="46"/>
      <c r="S36" s="46"/>
      <c r="T36" s="49">
        <v>-391.61959000000002</v>
      </c>
      <c r="U36" s="49">
        <v>-6.3479999999999999</v>
      </c>
      <c r="V36" s="50">
        <f t="shared" si="17"/>
        <v>-397.96759000000003</v>
      </c>
      <c r="W36" s="51">
        <v>47</v>
      </c>
      <c r="X36" s="88">
        <v>61</v>
      </c>
      <c r="Y36" s="83">
        <v>44</v>
      </c>
      <c r="Z36" s="88"/>
      <c r="AA36" s="88"/>
      <c r="AB36" s="53">
        <f t="shared" si="13"/>
        <v>-3</v>
      </c>
      <c r="AC36" s="83">
        <f t="shared" si="15"/>
        <v>44</v>
      </c>
      <c r="AD36" s="54">
        <f t="shared" si="14"/>
        <v>-3</v>
      </c>
    </row>
    <row r="37" spans="1:30" s="41" customFormat="1" ht="15.75" customHeight="1" x14ac:dyDescent="0.25">
      <c r="B37" s="80"/>
      <c r="C37" s="89" t="s">
        <v>54</v>
      </c>
      <c r="D37" s="44">
        <v>10.647</v>
      </c>
      <c r="E37" s="45">
        <v>2456.6999999999998</v>
      </c>
      <c r="F37" s="45">
        <f t="shared" si="8"/>
        <v>26156.484899999999</v>
      </c>
      <c r="G37" s="46">
        <v>26213.200000000001</v>
      </c>
      <c r="H37" s="46">
        <v>16219.1</v>
      </c>
      <c r="I37" s="46">
        <v>4763.2</v>
      </c>
      <c r="J37" s="47">
        <f t="shared" si="16"/>
        <v>20982.3</v>
      </c>
      <c r="K37" s="47">
        <f>-7.7-2.3</f>
        <v>-10</v>
      </c>
      <c r="L37" s="47">
        <v>-56.7</v>
      </c>
      <c r="M37" s="47">
        <f t="shared" si="10"/>
        <v>26156.5</v>
      </c>
      <c r="N37" s="47">
        <f t="shared" si="11"/>
        <v>1.510000000052969E-2</v>
      </c>
      <c r="O37" s="47">
        <v>19444.900000000001</v>
      </c>
      <c r="P37" s="46">
        <v>15062.2</v>
      </c>
      <c r="Q37" s="46">
        <v>4382.7</v>
      </c>
      <c r="R37" s="46">
        <v>-10</v>
      </c>
      <c r="S37" s="46"/>
      <c r="T37" s="49">
        <v>-391.84983999999997</v>
      </c>
      <c r="U37" s="49">
        <v>-6.3882000000000003</v>
      </c>
      <c r="V37" s="50">
        <f t="shared" si="17"/>
        <v>-398.23803999999996</v>
      </c>
      <c r="W37" s="51">
        <v>40</v>
      </c>
      <c r="X37" s="52">
        <v>51.5</v>
      </c>
      <c r="Y37" s="52">
        <v>40</v>
      </c>
      <c r="Z37" s="52">
        <v>-0.1</v>
      </c>
      <c r="AA37" s="52">
        <v>-0.1</v>
      </c>
      <c r="AB37" s="53">
        <f t="shared" si="13"/>
        <v>-0.10000000000000142</v>
      </c>
      <c r="AC37" s="83">
        <f>Y37+AA37</f>
        <v>39.9</v>
      </c>
      <c r="AD37" s="54">
        <v>0</v>
      </c>
    </row>
    <row r="38" spans="1:30" s="41" customFormat="1" ht="15.75" customHeight="1" x14ac:dyDescent="0.25">
      <c r="B38" s="80"/>
      <c r="C38" s="43" t="s">
        <v>55</v>
      </c>
      <c r="D38" s="44">
        <v>21.332999999999998</v>
      </c>
      <c r="E38" s="45">
        <v>1879.1</v>
      </c>
      <c r="F38" s="45">
        <f t="shared" si="8"/>
        <v>40086.840299999996</v>
      </c>
      <c r="G38" s="46">
        <v>35047.800000000003</v>
      </c>
      <c r="H38" s="46">
        <v>23092.7</v>
      </c>
      <c r="I38" s="46">
        <v>7116.1</v>
      </c>
      <c r="J38" s="47">
        <f t="shared" si="16"/>
        <v>30208.800000000003</v>
      </c>
      <c r="K38" s="47"/>
      <c r="L38" s="47"/>
      <c r="M38" s="47">
        <f t="shared" si="10"/>
        <v>35047.800000000003</v>
      </c>
      <c r="N38" s="47">
        <f t="shared" si="11"/>
        <v>-5039.0402999999933</v>
      </c>
      <c r="O38" s="47">
        <v>25413.4</v>
      </c>
      <c r="P38" s="46">
        <v>19398.2</v>
      </c>
      <c r="Q38" s="46">
        <v>6015.1</v>
      </c>
      <c r="R38" s="46"/>
      <c r="S38" s="46"/>
      <c r="T38" s="49">
        <v>-433.40062999999998</v>
      </c>
      <c r="U38" s="49">
        <v>-10.666499999999999</v>
      </c>
      <c r="V38" s="50">
        <f t="shared" si="17"/>
        <v>-444.06712999999996</v>
      </c>
      <c r="W38" s="51">
        <v>51</v>
      </c>
      <c r="X38" s="52">
        <v>66</v>
      </c>
      <c r="Y38" s="52">
        <v>51</v>
      </c>
      <c r="Z38" s="52"/>
      <c r="AA38" s="52"/>
      <c r="AB38" s="53">
        <f t="shared" si="13"/>
        <v>0</v>
      </c>
      <c r="AC38" s="83">
        <f t="shared" si="15"/>
        <v>51</v>
      </c>
      <c r="AD38" s="54">
        <v>0</v>
      </c>
    </row>
    <row r="39" spans="1:30" s="41" customFormat="1" ht="15.75" customHeight="1" x14ac:dyDescent="0.25">
      <c r="B39" s="80"/>
      <c r="C39" s="52" t="s">
        <v>56</v>
      </c>
      <c r="D39" s="44">
        <v>22.545999999999999</v>
      </c>
      <c r="E39" s="45">
        <v>2246</v>
      </c>
      <c r="F39" s="45">
        <f t="shared" si="8"/>
        <v>50638.315999999999</v>
      </c>
      <c r="G39" s="46">
        <v>47011.1</v>
      </c>
      <c r="H39" s="46">
        <v>31564.799999999999</v>
      </c>
      <c r="I39" s="46">
        <v>9527.4</v>
      </c>
      <c r="J39" s="47">
        <f t="shared" si="16"/>
        <v>41092.199999999997</v>
      </c>
      <c r="K39" s="47">
        <f>-107.7-32.5</f>
        <v>-140.19999999999999</v>
      </c>
      <c r="L39" s="47">
        <v>-268.10000000000002</v>
      </c>
      <c r="M39" s="47">
        <f t="shared" si="10"/>
        <v>46743</v>
      </c>
      <c r="N39" s="47">
        <f t="shared" si="11"/>
        <v>-3895.3159999999989</v>
      </c>
      <c r="O39" s="47">
        <v>28301.9</v>
      </c>
      <c r="P39" s="46">
        <v>21737.599999999999</v>
      </c>
      <c r="Q39" s="46">
        <v>6564.3</v>
      </c>
      <c r="R39" s="46"/>
      <c r="S39" s="46"/>
      <c r="T39" s="49">
        <v>-437.56920000000002</v>
      </c>
      <c r="U39" s="49">
        <v>-11.273</v>
      </c>
      <c r="V39" s="50">
        <f t="shared" si="17"/>
        <v>-448.84220000000005</v>
      </c>
      <c r="W39" s="51">
        <v>66</v>
      </c>
      <c r="X39" s="88">
        <v>110</v>
      </c>
      <c r="Y39" s="83">
        <v>62</v>
      </c>
      <c r="Z39" s="88">
        <v>-0.5</v>
      </c>
      <c r="AA39" s="88"/>
      <c r="AB39" s="53">
        <f t="shared" si="13"/>
        <v>-4</v>
      </c>
      <c r="AC39" s="83">
        <f t="shared" si="15"/>
        <v>62</v>
      </c>
      <c r="AD39" s="54">
        <f t="shared" si="14"/>
        <v>-4</v>
      </c>
    </row>
    <row r="40" spans="1:30" s="41" customFormat="1" ht="15.75" customHeight="1" thickBot="1" x14ac:dyDescent="0.3">
      <c r="B40" s="56"/>
      <c r="C40" s="90" t="s">
        <v>57</v>
      </c>
      <c r="D40" s="58">
        <v>12.997999999999999</v>
      </c>
      <c r="E40" s="59">
        <v>2277.4</v>
      </c>
      <c r="F40" s="59">
        <f t="shared" si="8"/>
        <v>29601.645199999999</v>
      </c>
      <c r="G40" s="60">
        <v>23221</v>
      </c>
      <c r="H40" s="60">
        <v>14664.6</v>
      </c>
      <c r="I40" s="60">
        <v>4497.7</v>
      </c>
      <c r="J40" s="61">
        <v>4267.2</v>
      </c>
      <c r="K40" s="61">
        <f>532.2+148.8</f>
        <v>681</v>
      </c>
      <c r="L40" s="61">
        <f>641-126.1</f>
        <v>514.9</v>
      </c>
      <c r="M40" s="61">
        <f t="shared" si="10"/>
        <v>23735.9</v>
      </c>
      <c r="N40" s="61">
        <f t="shared" si="11"/>
        <v>-5865.7451999999976</v>
      </c>
      <c r="O40" s="61">
        <v>18978.7</v>
      </c>
      <c r="P40" s="60">
        <v>14535.6</v>
      </c>
      <c r="Q40" s="60">
        <v>4443.1000000000004</v>
      </c>
      <c r="R40" s="59">
        <v>231.4</v>
      </c>
      <c r="S40" s="60"/>
      <c r="T40" s="63">
        <v>-399.92923999999999</v>
      </c>
      <c r="U40" s="63">
        <v>-7.7988</v>
      </c>
      <c r="V40" s="64">
        <f t="shared" si="17"/>
        <v>-407.72803999999996</v>
      </c>
      <c r="W40" s="65">
        <v>60</v>
      </c>
      <c r="X40" s="66">
        <v>51</v>
      </c>
      <c r="Y40" s="66">
        <v>50</v>
      </c>
      <c r="Z40" s="66">
        <v>2.5</v>
      </c>
      <c r="AA40" s="66">
        <v>1</v>
      </c>
      <c r="AB40" s="67">
        <f t="shared" si="13"/>
        <v>-9</v>
      </c>
      <c r="AC40" s="91">
        <f>Y40+AA40</f>
        <v>51</v>
      </c>
      <c r="AD40" s="68">
        <f t="shared" si="14"/>
        <v>-9</v>
      </c>
    </row>
    <row r="41" spans="1:30" ht="36" customHeight="1" thickBot="1" x14ac:dyDescent="0.3">
      <c r="A41" s="92"/>
      <c r="B41" s="93"/>
      <c r="C41" s="94" t="s">
        <v>58</v>
      </c>
      <c r="D41" s="95"/>
      <c r="E41" s="96"/>
      <c r="F41" s="96"/>
      <c r="G41" s="97"/>
      <c r="H41" s="97"/>
      <c r="I41" s="97"/>
      <c r="J41" s="98">
        <f t="shared" si="1"/>
        <v>0</v>
      </c>
      <c r="K41" s="98"/>
      <c r="L41" s="98"/>
      <c r="M41" s="98"/>
      <c r="N41" s="98"/>
      <c r="O41" s="97"/>
      <c r="P41" s="97"/>
      <c r="Q41" s="97"/>
      <c r="R41" s="97"/>
      <c r="S41" s="99"/>
      <c r="T41" s="100"/>
      <c r="U41" s="100"/>
      <c r="V41" s="101"/>
      <c r="W41" s="102"/>
      <c r="X41" s="103"/>
      <c r="Y41" s="103"/>
      <c r="Z41" s="103"/>
      <c r="AA41" s="103"/>
      <c r="AB41" s="103"/>
      <c r="AC41" s="103"/>
      <c r="AD41" s="97"/>
    </row>
    <row r="42" spans="1:30" ht="15" customHeight="1" x14ac:dyDescent="0.25">
      <c r="A42" s="92"/>
      <c r="B42" s="104" t="s">
        <v>37</v>
      </c>
      <c r="C42" s="37" t="s">
        <v>59</v>
      </c>
      <c r="D42" s="70">
        <v>33.363999999999997</v>
      </c>
      <c r="E42" s="71">
        <v>61.8</v>
      </c>
      <c r="F42" s="71">
        <f t="shared" ref="F42:F47" si="18">E42*D42</f>
        <v>2061.8951999999999</v>
      </c>
      <c r="G42" s="105"/>
      <c r="H42" s="105"/>
      <c r="I42" s="105"/>
      <c r="J42" s="73"/>
      <c r="K42" s="73"/>
      <c r="L42" s="73">
        <v>1</v>
      </c>
      <c r="M42" s="73">
        <f t="shared" ref="M42:M47" si="19">G42+L42</f>
        <v>1</v>
      </c>
      <c r="N42" s="73">
        <f t="shared" ref="N42:N47" si="20">M42-F42</f>
        <v>-2060.8951999999999</v>
      </c>
      <c r="O42" s="73"/>
      <c r="P42" s="105"/>
      <c r="Q42" s="105"/>
      <c r="R42" s="105"/>
      <c r="S42" s="74"/>
      <c r="T42" s="105"/>
      <c r="U42" s="105"/>
      <c r="V42" s="106">
        <f t="shared" ref="V42:V47" si="21">T42+U42</f>
        <v>0</v>
      </c>
      <c r="W42" s="77">
        <v>2</v>
      </c>
      <c r="X42" s="37"/>
      <c r="Y42" s="37">
        <v>0</v>
      </c>
      <c r="Z42" s="37"/>
      <c r="AA42" s="37"/>
      <c r="AB42" s="78">
        <f t="shared" ref="AB42:AB47" si="22">(Y42+AA42)-W42</f>
        <v>-2</v>
      </c>
      <c r="AC42" s="107">
        <f t="shared" si="6"/>
        <v>0</v>
      </c>
      <c r="AD42" s="79">
        <f t="shared" si="7"/>
        <v>-2</v>
      </c>
    </row>
    <row r="43" spans="1:30" ht="15" customHeight="1" x14ac:dyDescent="0.25">
      <c r="A43" s="92"/>
      <c r="B43" s="108"/>
      <c r="C43" s="82" t="s">
        <v>60</v>
      </c>
      <c r="D43" s="44">
        <v>1.3440000000000001</v>
      </c>
      <c r="E43" s="45">
        <v>2087</v>
      </c>
      <c r="F43" s="45">
        <f t="shared" si="18"/>
        <v>2804.9280000000003</v>
      </c>
      <c r="G43" s="109">
        <v>2661.3</v>
      </c>
      <c r="H43" s="109">
        <v>1657.6</v>
      </c>
      <c r="I43" s="109">
        <v>492.6</v>
      </c>
      <c r="J43" s="47">
        <f t="shared" si="1"/>
        <v>2150.1999999999998</v>
      </c>
      <c r="K43" s="47"/>
      <c r="L43" s="47">
        <v>0.7</v>
      </c>
      <c r="M43" s="47">
        <f t="shared" si="19"/>
        <v>2662</v>
      </c>
      <c r="N43" s="47">
        <f t="shared" si="20"/>
        <v>-142.92800000000034</v>
      </c>
      <c r="O43" s="47">
        <v>699.7</v>
      </c>
      <c r="P43" s="82">
        <v>537.4</v>
      </c>
      <c r="Q43" s="82">
        <v>162.30000000000001</v>
      </c>
      <c r="R43" s="82"/>
      <c r="S43" s="48">
        <f>O43+R43</f>
        <v>699.7</v>
      </c>
      <c r="T43" s="82"/>
      <c r="U43" s="82"/>
      <c r="V43" s="110">
        <f t="shared" si="21"/>
        <v>0</v>
      </c>
      <c r="W43" s="51">
        <v>4</v>
      </c>
      <c r="X43" s="52">
        <v>6</v>
      </c>
      <c r="Y43" s="52">
        <v>2</v>
      </c>
      <c r="Z43" s="52"/>
      <c r="AA43" s="52"/>
      <c r="AB43" s="53">
        <f t="shared" si="22"/>
        <v>-2</v>
      </c>
      <c r="AC43" s="87">
        <f t="shared" si="6"/>
        <v>2</v>
      </c>
      <c r="AD43" s="54">
        <f t="shared" si="7"/>
        <v>-2</v>
      </c>
    </row>
    <row r="44" spans="1:30" ht="15" customHeight="1" x14ac:dyDescent="0.25">
      <c r="A44" s="92"/>
      <c r="B44" s="108"/>
      <c r="C44" s="82" t="s">
        <v>61</v>
      </c>
      <c r="D44" s="44">
        <v>1.6859999999999999</v>
      </c>
      <c r="E44" s="45">
        <v>2160.3000000000002</v>
      </c>
      <c r="F44" s="45">
        <f t="shared" si="18"/>
        <v>3642.2658000000001</v>
      </c>
      <c r="G44" s="82">
        <v>3318.4</v>
      </c>
      <c r="H44" s="82">
        <v>1872.4</v>
      </c>
      <c r="I44" s="82">
        <v>564.4</v>
      </c>
      <c r="J44" s="47">
        <f t="shared" si="1"/>
        <v>2436.8000000000002</v>
      </c>
      <c r="K44" s="47"/>
      <c r="L44" s="47">
        <v>0.7</v>
      </c>
      <c r="M44" s="47">
        <f t="shared" si="19"/>
        <v>3319.1</v>
      </c>
      <c r="N44" s="47">
        <f t="shared" si="20"/>
        <v>-323.16580000000022</v>
      </c>
      <c r="O44" s="47">
        <v>643.20000000000005</v>
      </c>
      <c r="P44" s="82">
        <v>494.9</v>
      </c>
      <c r="Q44" s="82">
        <v>148.30000000000001</v>
      </c>
      <c r="R44" s="82"/>
      <c r="S44" s="48">
        <f t="shared" ref="S44:S47" si="23">O44+R44</f>
        <v>643.20000000000005</v>
      </c>
      <c r="T44" s="82"/>
      <c r="U44" s="82"/>
      <c r="V44" s="110">
        <f t="shared" si="21"/>
        <v>0</v>
      </c>
      <c r="W44" s="51">
        <v>5</v>
      </c>
      <c r="X44" s="52">
        <v>6.25</v>
      </c>
      <c r="Y44" s="52">
        <v>1</v>
      </c>
      <c r="Z44" s="52"/>
      <c r="AA44" s="52"/>
      <c r="AB44" s="53">
        <f t="shared" si="22"/>
        <v>-4</v>
      </c>
      <c r="AC44" s="87">
        <f t="shared" si="6"/>
        <v>1</v>
      </c>
      <c r="AD44" s="54">
        <f t="shared" si="7"/>
        <v>-4</v>
      </c>
    </row>
    <row r="45" spans="1:30" ht="15" customHeight="1" x14ac:dyDescent="0.25">
      <c r="A45" s="92"/>
      <c r="B45" s="108"/>
      <c r="C45" s="82" t="s">
        <v>62</v>
      </c>
      <c r="D45" s="44">
        <v>0.95899999999999996</v>
      </c>
      <c r="E45" s="45">
        <v>1932.8</v>
      </c>
      <c r="F45" s="45">
        <f t="shared" si="18"/>
        <v>1853.5551999999998</v>
      </c>
      <c r="G45" s="82">
        <v>1851.6</v>
      </c>
      <c r="H45" s="82">
        <v>1265</v>
      </c>
      <c r="I45" s="82">
        <v>382.9</v>
      </c>
      <c r="J45" s="47">
        <f t="shared" si="1"/>
        <v>1647.9</v>
      </c>
      <c r="K45" s="47"/>
      <c r="L45" s="47">
        <v>0.7</v>
      </c>
      <c r="M45" s="47">
        <f t="shared" si="19"/>
        <v>1852.3</v>
      </c>
      <c r="N45" s="47">
        <f t="shared" si="20"/>
        <v>-1.2551999999998316</v>
      </c>
      <c r="O45" s="47">
        <v>1015.9</v>
      </c>
      <c r="P45" s="82">
        <v>780.2</v>
      </c>
      <c r="Q45" s="82">
        <v>235.6</v>
      </c>
      <c r="R45" s="82"/>
      <c r="S45" s="48">
        <f t="shared" si="23"/>
        <v>1015.9</v>
      </c>
      <c r="T45" s="82"/>
      <c r="U45" s="82"/>
      <c r="V45" s="110">
        <f t="shared" si="21"/>
        <v>0</v>
      </c>
      <c r="W45" s="51">
        <v>4</v>
      </c>
      <c r="X45" s="52">
        <v>4</v>
      </c>
      <c r="Y45" s="52">
        <v>2</v>
      </c>
      <c r="Z45" s="52"/>
      <c r="AA45" s="52"/>
      <c r="AB45" s="53">
        <f t="shared" si="22"/>
        <v>-2</v>
      </c>
      <c r="AC45" s="87">
        <f t="shared" si="6"/>
        <v>2</v>
      </c>
      <c r="AD45" s="54">
        <f t="shared" si="7"/>
        <v>-2</v>
      </c>
    </row>
    <row r="46" spans="1:30" ht="15" customHeight="1" x14ac:dyDescent="0.25">
      <c r="A46" s="92"/>
      <c r="B46" s="108"/>
      <c r="C46" s="82" t="s">
        <v>63</v>
      </c>
      <c r="D46" s="44">
        <v>1.2330000000000001</v>
      </c>
      <c r="E46" s="45">
        <v>2971.9</v>
      </c>
      <c r="F46" s="45">
        <f t="shared" si="18"/>
        <v>3664.3527000000004</v>
      </c>
      <c r="G46" s="82">
        <v>3035.8</v>
      </c>
      <c r="H46" s="82">
        <v>1633.2</v>
      </c>
      <c r="I46" s="82">
        <v>500.2</v>
      </c>
      <c r="J46" s="47">
        <f t="shared" si="1"/>
        <v>2133.4</v>
      </c>
      <c r="K46" s="47"/>
      <c r="L46" s="47">
        <v>0.7</v>
      </c>
      <c r="M46" s="47">
        <f t="shared" si="19"/>
        <v>3036.5</v>
      </c>
      <c r="N46" s="47">
        <f t="shared" si="20"/>
        <v>-627.85270000000037</v>
      </c>
      <c r="O46" s="47">
        <v>1033.3</v>
      </c>
      <c r="P46" s="82">
        <v>793.7</v>
      </c>
      <c r="Q46" s="82">
        <v>239.7</v>
      </c>
      <c r="R46" s="82"/>
      <c r="S46" s="48">
        <f t="shared" si="23"/>
        <v>1033.3</v>
      </c>
      <c r="T46" s="82"/>
      <c r="U46" s="82"/>
      <c r="V46" s="110">
        <f t="shared" si="21"/>
        <v>0</v>
      </c>
      <c r="W46" s="51">
        <v>4</v>
      </c>
      <c r="X46" s="52">
        <v>7.1</v>
      </c>
      <c r="Y46" s="52">
        <v>2</v>
      </c>
      <c r="Z46" s="52"/>
      <c r="AA46" s="52"/>
      <c r="AB46" s="53">
        <f t="shared" si="22"/>
        <v>-2</v>
      </c>
      <c r="AC46" s="87">
        <f t="shared" si="6"/>
        <v>2</v>
      </c>
      <c r="AD46" s="54">
        <f t="shared" si="7"/>
        <v>-2</v>
      </c>
    </row>
    <row r="47" spans="1:30" ht="15" customHeight="1" x14ac:dyDescent="0.25">
      <c r="A47" s="92"/>
      <c r="B47" s="108"/>
      <c r="C47" s="82" t="s">
        <v>64</v>
      </c>
      <c r="D47" s="44">
        <v>0.97399999999999998</v>
      </c>
      <c r="E47" s="45">
        <v>2206.5</v>
      </c>
      <c r="F47" s="45">
        <f t="shared" si="18"/>
        <v>2149.1309999999999</v>
      </c>
      <c r="G47" s="82">
        <v>2143.6999999999998</v>
      </c>
      <c r="H47" s="82">
        <v>1354</v>
      </c>
      <c r="I47" s="82">
        <v>454.4</v>
      </c>
      <c r="J47" s="47">
        <f t="shared" si="1"/>
        <v>1808.4</v>
      </c>
      <c r="K47" s="47"/>
      <c r="L47" s="47">
        <v>0.7</v>
      </c>
      <c r="M47" s="47">
        <f t="shared" si="19"/>
        <v>2144.3999999999996</v>
      </c>
      <c r="N47" s="47">
        <f t="shared" si="20"/>
        <v>-4.7310000000002219</v>
      </c>
      <c r="O47" s="47">
        <v>576.9</v>
      </c>
      <c r="P47" s="82">
        <v>443.1</v>
      </c>
      <c r="Q47" s="82">
        <v>133.80000000000001</v>
      </c>
      <c r="R47" s="82"/>
      <c r="S47" s="48">
        <f t="shared" si="23"/>
        <v>576.9</v>
      </c>
      <c r="T47" s="82"/>
      <c r="U47" s="82"/>
      <c r="V47" s="110">
        <f t="shared" si="21"/>
        <v>0</v>
      </c>
      <c r="W47" s="51">
        <v>4</v>
      </c>
      <c r="X47" s="52">
        <v>4.5</v>
      </c>
      <c r="Y47" s="52">
        <v>1</v>
      </c>
      <c r="Z47" s="52"/>
      <c r="AA47" s="52"/>
      <c r="AB47" s="53">
        <f t="shared" si="22"/>
        <v>-3</v>
      </c>
      <c r="AC47" s="87">
        <f t="shared" si="6"/>
        <v>1</v>
      </c>
      <c r="AD47" s="54">
        <f t="shared" si="7"/>
        <v>-3</v>
      </c>
    </row>
    <row r="48" spans="1:30" ht="15" customHeight="1" thickBot="1" x14ac:dyDescent="0.3">
      <c r="A48" s="92"/>
      <c r="B48" s="111"/>
      <c r="C48" s="66" t="s">
        <v>65</v>
      </c>
      <c r="D48" s="112">
        <f>ROUND(SUM(D42:D47),3)</f>
        <v>39.56</v>
      </c>
      <c r="E48" s="59"/>
      <c r="F48" s="59"/>
      <c r="G48" s="113">
        <f t="shared" ref="G48:I48" si="24">ROUND(SUM(G42:G47),3)</f>
        <v>13010.8</v>
      </c>
      <c r="H48" s="113">
        <f t="shared" si="24"/>
        <v>7782.2</v>
      </c>
      <c r="I48" s="113">
        <f t="shared" si="24"/>
        <v>2394.5</v>
      </c>
      <c r="J48" s="113">
        <f>ROUND(SUM(J42:J47),3)</f>
        <v>10176.700000000001</v>
      </c>
      <c r="K48" s="113"/>
      <c r="L48" s="113">
        <f t="shared" ref="L48:V48" si="25">ROUND(SUM(L42:L47),3)</f>
        <v>4.5</v>
      </c>
      <c r="M48" s="113">
        <f t="shared" si="25"/>
        <v>13015.3</v>
      </c>
      <c r="N48" s="113"/>
      <c r="O48" s="113">
        <f>ROUND(SUM(O42:O47),3)</f>
        <v>3969</v>
      </c>
      <c r="P48" s="113">
        <f t="shared" ref="P48:S48" si="26">ROUND(SUM(P42:P47),3)</f>
        <v>3049.3</v>
      </c>
      <c r="Q48" s="113">
        <f t="shared" si="26"/>
        <v>919.7</v>
      </c>
      <c r="R48" s="113">
        <f t="shared" si="26"/>
        <v>0</v>
      </c>
      <c r="S48" s="113">
        <f t="shared" si="26"/>
        <v>3969</v>
      </c>
      <c r="T48" s="113">
        <f t="shared" si="25"/>
        <v>0</v>
      </c>
      <c r="U48" s="113">
        <f t="shared" si="25"/>
        <v>0</v>
      </c>
      <c r="V48" s="114">
        <f t="shared" si="25"/>
        <v>0</v>
      </c>
      <c r="W48" s="115"/>
      <c r="X48" s="113">
        <f t="shared" ref="X48:AB48" si="27">ROUND(SUM(X42:X47),3)</f>
        <v>27.85</v>
      </c>
      <c r="Y48" s="115">
        <f t="shared" si="27"/>
        <v>8</v>
      </c>
      <c r="Z48" s="115">
        <f t="shared" si="27"/>
        <v>0</v>
      </c>
      <c r="AA48" s="115">
        <f t="shared" si="27"/>
        <v>0</v>
      </c>
      <c r="AB48" s="115">
        <f t="shared" si="27"/>
        <v>-15</v>
      </c>
      <c r="AC48" s="116">
        <f>Y48+AA48</f>
        <v>8</v>
      </c>
      <c r="AD48" s="68"/>
    </row>
    <row r="49" spans="1:30" ht="15.75" x14ac:dyDescent="0.25">
      <c r="B49" s="104" t="s">
        <v>38</v>
      </c>
      <c r="C49" s="37" t="s">
        <v>66</v>
      </c>
      <c r="D49" s="70">
        <v>2.1429999999999998</v>
      </c>
      <c r="E49" s="71">
        <v>222.4</v>
      </c>
      <c r="F49" s="71">
        <f t="shared" ref="F49:F52" si="28">E49*D49</f>
        <v>476.60319999999996</v>
      </c>
      <c r="G49" s="105"/>
      <c r="H49" s="105"/>
      <c r="I49" s="105"/>
      <c r="J49" s="73"/>
      <c r="K49" s="73"/>
      <c r="L49" s="73">
        <v>180.6</v>
      </c>
      <c r="M49" s="73">
        <f>G49+L49</f>
        <v>180.6</v>
      </c>
      <c r="N49" s="73">
        <f>M49-F49</f>
        <v>-296.00319999999999</v>
      </c>
      <c r="O49" s="73"/>
      <c r="P49" s="105"/>
      <c r="Q49" s="105"/>
      <c r="R49" s="105"/>
      <c r="S49" s="117"/>
      <c r="T49" s="105"/>
      <c r="U49" s="105"/>
      <c r="V49" s="106">
        <f>T49+U49</f>
        <v>0</v>
      </c>
      <c r="W49" s="77">
        <v>0</v>
      </c>
      <c r="X49" s="37"/>
      <c r="Y49" s="37">
        <v>0</v>
      </c>
      <c r="Z49" s="37"/>
      <c r="AA49" s="37"/>
      <c r="AB49" s="78">
        <f t="shared" ref="AB49:AB52" si="29">(Y49+AA49)-W49</f>
        <v>0</v>
      </c>
      <c r="AC49" s="107">
        <f t="shared" si="6"/>
        <v>0</v>
      </c>
      <c r="AD49" s="79">
        <f t="shared" si="7"/>
        <v>0</v>
      </c>
    </row>
    <row r="50" spans="1:30" ht="15.75" x14ac:dyDescent="0.25">
      <c r="B50" s="108"/>
      <c r="C50" s="52" t="s">
        <v>67</v>
      </c>
      <c r="D50" s="44">
        <v>0.46500000000000002</v>
      </c>
      <c r="E50" s="45">
        <v>2737.7</v>
      </c>
      <c r="F50" s="45">
        <f t="shared" si="28"/>
        <v>1273.0305000000001</v>
      </c>
      <c r="G50" s="82">
        <v>1240.5999999999999</v>
      </c>
      <c r="H50" s="82">
        <v>890.4</v>
      </c>
      <c r="I50" s="82">
        <v>267.5</v>
      </c>
      <c r="J50" s="47">
        <v>584.9</v>
      </c>
      <c r="K50" s="47"/>
      <c r="L50" s="47">
        <v>23</v>
      </c>
      <c r="M50" s="47">
        <f>G50+L50</f>
        <v>1263.5999999999999</v>
      </c>
      <c r="N50" s="47">
        <f>M50-F50</f>
        <v>-9.4305000000001655</v>
      </c>
      <c r="O50" s="47">
        <v>651.70000000000005</v>
      </c>
      <c r="P50" s="82">
        <v>501.5</v>
      </c>
      <c r="Q50" s="82">
        <v>150.19999999999999</v>
      </c>
      <c r="R50" s="82"/>
      <c r="S50" s="48">
        <f t="shared" ref="S50:S52" si="30">O50+R50</f>
        <v>651.70000000000005</v>
      </c>
      <c r="T50" s="82"/>
      <c r="U50" s="82"/>
      <c r="V50" s="110">
        <f>T50+U50</f>
        <v>0</v>
      </c>
      <c r="W50" s="51">
        <v>3</v>
      </c>
      <c r="X50" s="52">
        <v>8</v>
      </c>
      <c r="Y50" s="52">
        <v>2</v>
      </c>
      <c r="Z50" s="52"/>
      <c r="AA50" s="52"/>
      <c r="AB50" s="53">
        <f t="shared" si="29"/>
        <v>-1</v>
      </c>
      <c r="AC50" s="87">
        <f t="shared" si="6"/>
        <v>2</v>
      </c>
      <c r="AD50" s="54">
        <v>-1</v>
      </c>
    </row>
    <row r="51" spans="1:30" ht="15.75" x14ac:dyDescent="0.25">
      <c r="B51" s="108"/>
      <c r="C51" s="52" t="s">
        <v>68</v>
      </c>
      <c r="D51" s="44">
        <v>1.333</v>
      </c>
      <c r="E51" s="45">
        <v>2407.6</v>
      </c>
      <c r="F51" s="45">
        <f t="shared" si="28"/>
        <v>3209.3307999999997</v>
      </c>
      <c r="G51" s="82">
        <v>2642.3</v>
      </c>
      <c r="H51" s="82">
        <v>1668.2</v>
      </c>
      <c r="I51" s="82">
        <v>533.79999999999995</v>
      </c>
      <c r="J51" s="47">
        <f>H51+I51</f>
        <v>2202</v>
      </c>
      <c r="K51" s="47"/>
      <c r="L51" s="47">
        <v>143.6</v>
      </c>
      <c r="M51" s="47">
        <f>G51+L51</f>
        <v>2785.9</v>
      </c>
      <c r="N51" s="47">
        <f>M51-F51</f>
        <v>-423.43079999999964</v>
      </c>
      <c r="O51" s="47">
        <v>1573.7</v>
      </c>
      <c r="P51" s="82">
        <v>1209.5999999999999</v>
      </c>
      <c r="Q51" s="82">
        <v>364.1</v>
      </c>
      <c r="R51" s="82"/>
      <c r="S51" s="48">
        <f t="shared" si="30"/>
        <v>1573.7</v>
      </c>
      <c r="T51" s="82"/>
      <c r="U51" s="82"/>
      <c r="V51" s="110">
        <f>T51+U51</f>
        <v>0</v>
      </c>
      <c r="W51" s="51">
        <v>4</v>
      </c>
      <c r="X51" s="52">
        <v>8</v>
      </c>
      <c r="Y51" s="52">
        <v>4</v>
      </c>
      <c r="Z51" s="52"/>
      <c r="AA51" s="52"/>
      <c r="AB51" s="53">
        <f t="shared" si="29"/>
        <v>0</v>
      </c>
      <c r="AC51" s="87">
        <f t="shared" si="6"/>
        <v>4</v>
      </c>
      <c r="AD51" s="54">
        <f t="shared" si="7"/>
        <v>0</v>
      </c>
    </row>
    <row r="52" spans="1:30" ht="15.75" x14ac:dyDescent="0.25">
      <c r="B52" s="108"/>
      <c r="C52" s="52" t="s">
        <v>69</v>
      </c>
      <c r="D52" s="44">
        <v>0.39800000000000002</v>
      </c>
      <c r="E52" s="45">
        <v>2910.4</v>
      </c>
      <c r="F52" s="45">
        <f t="shared" si="28"/>
        <v>1158.3392000000001</v>
      </c>
      <c r="G52" s="82">
        <v>1135.3</v>
      </c>
      <c r="H52" s="82">
        <v>826</v>
      </c>
      <c r="I52" s="82">
        <v>246.2</v>
      </c>
      <c r="J52" s="47">
        <f>H52+I52</f>
        <v>1072.2</v>
      </c>
      <c r="K52" s="47"/>
      <c r="L52" s="47">
        <v>23</v>
      </c>
      <c r="M52" s="47">
        <f>G52+L52</f>
        <v>1158.3</v>
      </c>
      <c r="N52" s="47">
        <f>M52-F52</f>
        <v>-3.9200000000164437E-2</v>
      </c>
      <c r="O52" s="47">
        <v>912.2</v>
      </c>
      <c r="P52" s="82">
        <v>703.2</v>
      </c>
      <c r="Q52" s="82">
        <v>209</v>
      </c>
      <c r="R52" s="82"/>
      <c r="S52" s="48">
        <f t="shared" si="30"/>
        <v>912.2</v>
      </c>
      <c r="T52" s="82"/>
      <c r="U52" s="82"/>
      <c r="V52" s="110">
        <f>T52+U52</f>
        <v>0</v>
      </c>
      <c r="W52" s="51">
        <v>3</v>
      </c>
      <c r="X52" s="52">
        <v>4.25</v>
      </c>
      <c r="Y52" s="52">
        <v>2</v>
      </c>
      <c r="Z52" s="52"/>
      <c r="AA52" s="52"/>
      <c r="AB52" s="53">
        <f t="shared" si="29"/>
        <v>-1</v>
      </c>
      <c r="AC52" s="87">
        <f t="shared" si="6"/>
        <v>2</v>
      </c>
      <c r="AD52" s="54">
        <f t="shared" si="7"/>
        <v>-1</v>
      </c>
    </row>
    <row r="53" spans="1:30" ht="15" customHeight="1" thickBot="1" x14ac:dyDescent="0.3">
      <c r="A53" s="92"/>
      <c r="B53" s="111"/>
      <c r="C53" s="66" t="s">
        <v>65</v>
      </c>
      <c r="D53" s="118">
        <f t="shared" ref="D53" si="31">SUM(D49:D52)</f>
        <v>4.3389999999999995</v>
      </c>
      <c r="E53" s="59"/>
      <c r="F53" s="59"/>
      <c r="G53" s="119">
        <f t="shared" ref="G53:I53" si="32">SUM(G49:G52)</f>
        <v>5018.2</v>
      </c>
      <c r="H53" s="119">
        <f t="shared" si="32"/>
        <v>3384.6</v>
      </c>
      <c r="I53" s="119">
        <f t="shared" si="32"/>
        <v>1047.5</v>
      </c>
      <c r="J53" s="119">
        <f>SUM(J49:J52)</f>
        <v>3859.1000000000004</v>
      </c>
      <c r="K53" s="119"/>
      <c r="L53" s="119">
        <f t="shared" ref="L53:V53" si="33">SUM(L49:L52)</f>
        <v>370.2</v>
      </c>
      <c r="M53" s="119">
        <f t="shared" si="33"/>
        <v>5388.4000000000005</v>
      </c>
      <c r="N53" s="61"/>
      <c r="O53" s="119">
        <f>SUM(O49:O52)</f>
        <v>3137.6000000000004</v>
      </c>
      <c r="P53" s="119">
        <f t="shared" ref="P53:R53" si="34">SUM(P49:P52)</f>
        <v>2414.3000000000002</v>
      </c>
      <c r="Q53" s="119">
        <f t="shared" si="34"/>
        <v>723.3</v>
      </c>
      <c r="R53" s="119">
        <f t="shared" si="34"/>
        <v>0</v>
      </c>
      <c r="S53" s="113">
        <f>ROUND(SUM(S50:U52),3)</f>
        <v>3137.6</v>
      </c>
      <c r="T53" s="119">
        <f t="shared" si="33"/>
        <v>0</v>
      </c>
      <c r="U53" s="119">
        <f t="shared" si="33"/>
        <v>0</v>
      </c>
      <c r="V53" s="114">
        <f t="shared" si="33"/>
        <v>0</v>
      </c>
      <c r="W53" s="115"/>
      <c r="X53" s="119">
        <f>SUM(X49:X52)</f>
        <v>20.25</v>
      </c>
      <c r="Y53" s="119">
        <f>SUM(Y49:Y52)</f>
        <v>8</v>
      </c>
      <c r="Z53" s="119"/>
      <c r="AA53" s="119"/>
      <c r="AB53" s="66"/>
      <c r="AC53" s="116">
        <f t="shared" si="6"/>
        <v>8</v>
      </c>
      <c r="AD53" s="68"/>
    </row>
    <row r="54" spans="1:30" ht="15.75" x14ac:dyDescent="0.25">
      <c r="A54" s="92"/>
      <c r="B54" s="104" t="s">
        <v>39</v>
      </c>
      <c r="C54" s="37" t="s">
        <v>70</v>
      </c>
      <c r="D54" s="70">
        <v>3.5209999999999999</v>
      </c>
      <c r="E54" s="71">
        <v>1197.0999999999999</v>
      </c>
      <c r="F54" s="71">
        <f t="shared" ref="F54:F59" si="35">E54*D54</f>
        <v>4214.9890999999998</v>
      </c>
      <c r="G54" s="105">
        <v>3989.6</v>
      </c>
      <c r="H54" s="105">
        <v>2517.6999999999998</v>
      </c>
      <c r="I54" s="105">
        <v>760.3</v>
      </c>
      <c r="J54" s="73">
        <f t="shared" ref="J54:J59" si="36">H54+I54</f>
        <v>3278</v>
      </c>
      <c r="K54" s="73">
        <f>85.8+25.7</f>
        <v>111.5</v>
      </c>
      <c r="L54" s="73">
        <v>124.7</v>
      </c>
      <c r="M54" s="73">
        <f t="shared" ref="M54:M59" si="37">G54+L54</f>
        <v>4114.3</v>
      </c>
      <c r="N54" s="73">
        <f t="shared" ref="N54:N59" si="38">M54-F54</f>
        <v>-100.6890999999996</v>
      </c>
      <c r="O54" s="73">
        <v>2542.4</v>
      </c>
      <c r="P54" s="105">
        <v>1955.7</v>
      </c>
      <c r="Q54" s="105">
        <v>586.70000000000005</v>
      </c>
      <c r="R54" s="105"/>
      <c r="S54" s="74">
        <f t="shared" ref="S54:S59" si="39">O54+R54</f>
        <v>2542.4</v>
      </c>
      <c r="T54" s="105"/>
      <c r="U54" s="105"/>
      <c r="V54" s="106">
        <f t="shared" ref="V54:V59" si="40">T54+U54</f>
        <v>0</v>
      </c>
      <c r="W54" s="77">
        <v>6</v>
      </c>
      <c r="X54" s="37">
        <v>9</v>
      </c>
      <c r="Y54" s="37">
        <v>6</v>
      </c>
      <c r="Z54" s="37">
        <v>0.4</v>
      </c>
      <c r="AA54" s="37"/>
      <c r="AB54" s="78">
        <f t="shared" ref="AB54:AB59" si="41">(Y54+AA54)-W54</f>
        <v>0</v>
      </c>
      <c r="AC54" s="107">
        <f t="shared" si="6"/>
        <v>6</v>
      </c>
      <c r="AD54" s="79">
        <f t="shared" si="7"/>
        <v>0</v>
      </c>
    </row>
    <row r="55" spans="1:30" ht="15.75" x14ac:dyDescent="0.25">
      <c r="A55" s="92"/>
      <c r="B55" s="108"/>
      <c r="C55" s="52" t="s">
        <v>71</v>
      </c>
      <c r="D55" s="44">
        <v>2.2330000000000001</v>
      </c>
      <c r="E55" s="45">
        <v>1597.1</v>
      </c>
      <c r="F55" s="45">
        <f t="shared" si="35"/>
        <v>3566.3242999999998</v>
      </c>
      <c r="G55" s="109">
        <v>3286.8</v>
      </c>
      <c r="H55" s="109">
        <v>1759.3</v>
      </c>
      <c r="I55" s="109">
        <v>497.3</v>
      </c>
      <c r="J55" s="47">
        <f t="shared" si="36"/>
        <v>2256.6</v>
      </c>
      <c r="K55" s="47">
        <f>55+16.5</f>
        <v>71.5</v>
      </c>
      <c r="L55" s="47">
        <v>78.900000000000006</v>
      </c>
      <c r="M55" s="47">
        <f t="shared" si="37"/>
        <v>3365.7000000000003</v>
      </c>
      <c r="N55" s="47">
        <f t="shared" si="38"/>
        <v>-200.62429999999949</v>
      </c>
      <c r="O55" s="47">
        <v>1306.2</v>
      </c>
      <c r="P55" s="109">
        <v>1006</v>
      </c>
      <c r="Q55" s="109">
        <v>300.2</v>
      </c>
      <c r="R55" s="109"/>
      <c r="S55" s="48">
        <f t="shared" si="39"/>
        <v>1306.2</v>
      </c>
      <c r="T55" s="109"/>
      <c r="U55" s="109"/>
      <c r="V55" s="110">
        <f t="shared" si="40"/>
        <v>0</v>
      </c>
      <c r="W55" s="51">
        <v>4</v>
      </c>
      <c r="X55" s="52">
        <v>7</v>
      </c>
      <c r="Y55" s="52">
        <v>4</v>
      </c>
      <c r="Z55" s="52">
        <v>0.3</v>
      </c>
      <c r="AA55" s="52"/>
      <c r="AB55" s="53">
        <f t="shared" si="41"/>
        <v>0</v>
      </c>
      <c r="AC55" s="87">
        <f t="shared" si="6"/>
        <v>4</v>
      </c>
      <c r="AD55" s="54">
        <f t="shared" si="7"/>
        <v>0</v>
      </c>
    </row>
    <row r="56" spans="1:30" ht="15.75" x14ac:dyDescent="0.25">
      <c r="A56" s="92"/>
      <c r="B56" s="108"/>
      <c r="C56" s="52" t="s">
        <v>72</v>
      </c>
      <c r="D56" s="44">
        <v>4.6909999999999998</v>
      </c>
      <c r="E56" s="45">
        <v>1189.3</v>
      </c>
      <c r="F56" s="45">
        <f t="shared" si="35"/>
        <v>5579.0063</v>
      </c>
      <c r="G56" s="109">
        <v>5224.8</v>
      </c>
      <c r="H56" s="109">
        <v>3095.7</v>
      </c>
      <c r="I56" s="109">
        <v>947.5</v>
      </c>
      <c r="J56" s="47">
        <f t="shared" si="36"/>
        <v>4043.2</v>
      </c>
      <c r="K56" s="47">
        <f>113.7+34</f>
        <v>147.69999999999999</v>
      </c>
      <c r="L56" s="47">
        <v>166.3</v>
      </c>
      <c r="M56" s="47">
        <f t="shared" si="37"/>
        <v>5391.1</v>
      </c>
      <c r="N56" s="47">
        <f t="shared" si="38"/>
        <v>-187.90629999999965</v>
      </c>
      <c r="O56" s="47">
        <v>1959.8</v>
      </c>
      <c r="P56" s="109">
        <v>1482.5</v>
      </c>
      <c r="Q56" s="109">
        <v>477.3</v>
      </c>
      <c r="R56" s="109"/>
      <c r="S56" s="48">
        <f t="shared" si="39"/>
        <v>1959.8</v>
      </c>
      <c r="T56" s="109"/>
      <c r="U56" s="109"/>
      <c r="V56" s="110">
        <f t="shared" si="40"/>
        <v>0</v>
      </c>
      <c r="W56" s="51">
        <v>6</v>
      </c>
      <c r="X56" s="52">
        <v>14</v>
      </c>
      <c r="Y56" s="52">
        <v>4</v>
      </c>
      <c r="Z56" s="52">
        <v>0.5</v>
      </c>
      <c r="AA56" s="52"/>
      <c r="AB56" s="53">
        <f t="shared" si="41"/>
        <v>-2</v>
      </c>
      <c r="AC56" s="87">
        <f t="shared" si="6"/>
        <v>4</v>
      </c>
      <c r="AD56" s="54">
        <f t="shared" si="7"/>
        <v>-2</v>
      </c>
    </row>
    <row r="57" spans="1:30" ht="15.75" x14ac:dyDescent="0.25">
      <c r="A57" s="92"/>
      <c r="B57" s="108"/>
      <c r="C57" s="120" t="s">
        <v>73</v>
      </c>
      <c r="D57" s="44">
        <v>1.861</v>
      </c>
      <c r="E57" s="45">
        <v>2071.5</v>
      </c>
      <c r="F57" s="45">
        <f t="shared" si="35"/>
        <v>3855.0614999999998</v>
      </c>
      <c r="G57" s="109">
        <v>3460.9</v>
      </c>
      <c r="H57" s="109">
        <v>2124.3000000000002</v>
      </c>
      <c r="I57" s="109">
        <v>625.70000000000005</v>
      </c>
      <c r="J57" s="47">
        <f t="shared" si="36"/>
        <v>2750</v>
      </c>
      <c r="K57" s="47">
        <f>49.3+14.7</f>
        <v>64</v>
      </c>
      <c r="L57" s="47">
        <v>66</v>
      </c>
      <c r="M57" s="47">
        <f t="shared" si="37"/>
        <v>3526.9</v>
      </c>
      <c r="N57" s="47">
        <f t="shared" si="38"/>
        <v>-328.16149999999971</v>
      </c>
      <c r="O57" s="47">
        <v>1468.5</v>
      </c>
      <c r="P57" s="109">
        <v>1127.9000000000001</v>
      </c>
      <c r="Q57" s="109">
        <v>340.6</v>
      </c>
      <c r="R57" s="109"/>
      <c r="S57" s="48">
        <f t="shared" si="39"/>
        <v>1468.5</v>
      </c>
      <c r="T57" s="109"/>
      <c r="U57" s="109"/>
      <c r="V57" s="110">
        <f t="shared" si="40"/>
        <v>0</v>
      </c>
      <c r="W57" s="83">
        <v>7</v>
      </c>
      <c r="X57" s="52">
        <v>8.5</v>
      </c>
      <c r="Y57" s="52">
        <v>3</v>
      </c>
      <c r="Z57" s="52">
        <v>0.2</v>
      </c>
      <c r="AA57" s="52"/>
      <c r="AB57" s="53">
        <f t="shared" si="41"/>
        <v>-4</v>
      </c>
      <c r="AC57" s="87">
        <f t="shared" si="6"/>
        <v>3</v>
      </c>
      <c r="AD57" s="54">
        <f t="shared" si="7"/>
        <v>-4</v>
      </c>
    </row>
    <row r="58" spans="1:30" ht="15.75" x14ac:dyDescent="0.25">
      <c r="A58" s="92"/>
      <c r="B58" s="108"/>
      <c r="C58" s="120" t="s">
        <v>74</v>
      </c>
      <c r="D58" s="44">
        <v>1.2929999999999999</v>
      </c>
      <c r="E58" s="45">
        <v>2800.9</v>
      </c>
      <c r="F58" s="45">
        <f t="shared" si="35"/>
        <v>3621.5636999999997</v>
      </c>
      <c r="G58" s="82">
        <v>3460.5</v>
      </c>
      <c r="H58" s="82">
        <v>2017.2</v>
      </c>
      <c r="I58" s="82">
        <v>604.4</v>
      </c>
      <c r="J58" s="47">
        <f t="shared" si="36"/>
        <v>2621.6</v>
      </c>
      <c r="K58" s="47">
        <f>34.2+10.2</f>
        <v>44.400000000000006</v>
      </c>
      <c r="L58" s="47">
        <v>45.9</v>
      </c>
      <c r="M58" s="47">
        <f t="shared" si="37"/>
        <v>3506.4</v>
      </c>
      <c r="N58" s="47">
        <f t="shared" si="38"/>
        <v>-115.16369999999961</v>
      </c>
      <c r="O58" s="47">
        <v>1585.8</v>
      </c>
      <c r="P58" s="109">
        <v>1218</v>
      </c>
      <c r="Q58" s="109">
        <v>367.8</v>
      </c>
      <c r="R58" s="109"/>
      <c r="S58" s="48">
        <f t="shared" si="39"/>
        <v>1585.8</v>
      </c>
      <c r="T58" s="109"/>
      <c r="U58" s="109"/>
      <c r="V58" s="110">
        <f t="shared" si="40"/>
        <v>0</v>
      </c>
      <c r="W58" s="83">
        <v>7</v>
      </c>
      <c r="X58" s="52">
        <v>8.5</v>
      </c>
      <c r="Y58" s="52">
        <v>4</v>
      </c>
      <c r="Z58" s="52">
        <v>0.2</v>
      </c>
      <c r="AA58" s="52"/>
      <c r="AB58" s="53">
        <f t="shared" si="41"/>
        <v>-3</v>
      </c>
      <c r="AC58" s="87">
        <f t="shared" si="6"/>
        <v>4</v>
      </c>
      <c r="AD58" s="54">
        <f t="shared" si="7"/>
        <v>-3</v>
      </c>
    </row>
    <row r="59" spans="1:30" ht="15.75" x14ac:dyDescent="0.25">
      <c r="A59" s="92">
        <v>0</v>
      </c>
      <c r="B59" s="108"/>
      <c r="C59" s="120" t="s">
        <v>75</v>
      </c>
      <c r="D59" s="44">
        <v>3.484</v>
      </c>
      <c r="E59" s="45">
        <v>1361</v>
      </c>
      <c r="F59" s="45">
        <f t="shared" si="35"/>
        <v>4741.7240000000002</v>
      </c>
      <c r="G59" s="109">
        <v>4589.3</v>
      </c>
      <c r="H59" s="109">
        <v>2466.4</v>
      </c>
      <c r="I59" s="109">
        <v>736.5</v>
      </c>
      <c r="J59" s="47">
        <f t="shared" si="36"/>
        <v>3202.9</v>
      </c>
      <c r="K59" s="47">
        <f>85.5+25.6</f>
        <v>111.1</v>
      </c>
      <c r="L59" s="47">
        <v>123.5</v>
      </c>
      <c r="M59" s="47">
        <f t="shared" si="37"/>
        <v>4712.8</v>
      </c>
      <c r="N59" s="47">
        <f t="shared" si="38"/>
        <v>-28.923999999999978</v>
      </c>
      <c r="O59" s="47">
        <v>2418.3000000000002</v>
      </c>
      <c r="P59" s="109">
        <v>1862.9</v>
      </c>
      <c r="Q59" s="109">
        <v>555.4</v>
      </c>
      <c r="R59" s="109"/>
      <c r="S59" s="48">
        <f t="shared" si="39"/>
        <v>2418.3000000000002</v>
      </c>
      <c r="T59" s="109"/>
      <c r="U59" s="109"/>
      <c r="V59" s="110">
        <f t="shared" si="40"/>
        <v>0</v>
      </c>
      <c r="W59" s="83">
        <v>7</v>
      </c>
      <c r="X59" s="52">
        <v>9</v>
      </c>
      <c r="Y59" s="52">
        <v>7</v>
      </c>
      <c r="Z59" s="52">
        <v>0.4</v>
      </c>
      <c r="AA59" s="52"/>
      <c r="AB59" s="53">
        <f t="shared" si="41"/>
        <v>0</v>
      </c>
      <c r="AC59" s="87">
        <f t="shared" si="6"/>
        <v>7</v>
      </c>
      <c r="AD59" s="54">
        <f t="shared" si="7"/>
        <v>0</v>
      </c>
    </row>
    <row r="60" spans="1:30" ht="16.5" thickBot="1" x14ac:dyDescent="0.3">
      <c r="A60" s="92"/>
      <c r="B60" s="111"/>
      <c r="C60" s="66" t="s">
        <v>65</v>
      </c>
      <c r="D60" s="118">
        <f t="shared" ref="D60" si="42">SUM(D54:D59)</f>
        <v>17.082999999999998</v>
      </c>
      <c r="E60" s="59"/>
      <c r="F60" s="59"/>
      <c r="G60" s="119">
        <f t="shared" ref="G60:I60" si="43">SUM(G54:G59)</f>
        <v>24011.899999999998</v>
      </c>
      <c r="H60" s="119">
        <f t="shared" si="43"/>
        <v>13980.6</v>
      </c>
      <c r="I60" s="119">
        <f t="shared" si="43"/>
        <v>4171.7000000000007</v>
      </c>
      <c r="J60" s="119">
        <f>SUM(J54:J59)</f>
        <v>18152.3</v>
      </c>
      <c r="K60" s="119">
        <f t="shared" ref="K60:V60" si="44">SUM(K54:K59)</f>
        <v>550.20000000000005</v>
      </c>
      <c r="L60" s="119">
        <f t="shared" si="44"/>
        <v>605.29999999999995</v>
      </c>
      <c r="M60" s="113">
        <f t="shared" si="44"/>
        <v>24617.200000000001</v>
      </c>
      <c r="N60" s="61"/>
      <c r="O60" s="119">
        <f t="shared" ref="O60:Q60" si="45">SUM(O54:O59)</f>
        <v>11281</v>
      </c>
      <c r="P60" s="119">
        <f t="shared" si="45"/>
        <v>8653</v>
      </c>
      <c r="Q60" s="119">
        <f t="shared" si="45"/>
        <v>2628.0000000000005</v>
      </c>
      <c r="R60" s="119">
        <f>SUM(R54:R59)</f>
        <v>0</v>
      </c>
      <c r="S60" s="119">
        <f t="shared" ref="S60" si="46">SUM(S54:S59)</f>
        <v>11281</v>
      </c>
      <c r="T60" s="119">
        <f t="shared" si="44"/>
        <v>0</v>
      </c>
      <c r="U60" s="119">
        <f t="shared" si="44"/>
        <v>0</v>
      </c>
      <c r="V60" s="114">
        <f t="shared" si="44"/>
        <v>0</v>
      </c>
      <c r="W60" s="115"/>
      <c r="X60" s="119">
        <f t="shared" ref="X60:AA60" si="47">SUM(X54:X59)</f>
        <v>56</v>
      </c>
      <c r="Y60" s="119">
        <f t="shared" si="47"/>
        <v>28</v>
      </c>
      <c r="Z60" s="119">
        <f t="shared" si="47"/>
        <v>2</v>
      </c>
      <c r="AA60" s="119">
        <f t="shared" si="47"/>
        <v>0</v>
      </c>
      <c r="AB60" s="66"/>
      <c r="AC60" s="116">
        <f>Y60+AA60</f>
        <v>28</v>
      </c>
      <c r="AD60" s="68"/>
    </row>
    <row r="61" spans="1:30" ht="15.75" x14ac:dyDescent="0.25">
      <c r="A61" s="92"/>
      <c r="B61" s="104" t="s">
        <v>76</v>
      </c>
      <c r="C61" s="121" t="s">
        <v>77</v>
      </c>
      <c r="D61" s="70">
        <v>6.234</v>
      </c>
      <c r="E61" s="71">
        <v>42.6</v>
      </c>
      <c r="F61" s="71">
        <f t="shared" ref="F61:F66" si="48">E61*D61</f>
        <v>265.5684</v>
      </c>
      <c r="G61" s="105">
        <v>254.8</v>
      </c>
      <c r="H61" s="105">
        <v>176.4</v>
      </c>
      <c r="I61" s="105">
        <v>52.1</v>
      </c>
      <c r="J61" s="73">
        <f t="shared" ref="J61:J66" si="49">H61+I61</f>
        <v>228.5</v>
      </c>
      <c r="K61" s="73"/>
      <c r="L61" s="73">
        <v>0</v>
      </c>
      <c r="M61" s="73">
        <f>G61+L61</f>
        <v>254.8</v>
      </c>
      <c r="N61" s="73">
        <f t="shared" ref="N61:N66" si="50">M61-F61</f>
        <v>-10.768399999999986</v>
      </c>
      <c r="O61" s="73"/>
      <c r="P61" s="105"/>
      <c r="Q61" s="105"/>
      <c r="R61" s="105"/>
      <c r="S61" s="72"/>
      <c r="T61" s="105"/>
      <c r="U61" s="105"/>
      <c r="V61" s="106">
        <f>T61+U61</f>
        <v>0</v>
      </c>
      <c r="W61" s="77">
        <v>0</v>
      </c>
      <c r="X61" s="37">
        <v>1</v>
      </c>
      <c r="Y61" s="37"/>
      <c r="Z61" s="37"/>
      <c r="AA61" s="37"/>
      <c r="AB61" s="78">
        <f t="shared" ref="AB61:AB66" si="51">(Y61+AA61)-W61</f>
        <v>0</v>
      </c>
      <c r="AC61" s="107">
        <f t="shared" si="6"/>
        <v>0</v>
      </c>
      <c r="AD61" s="79">
        <f t="shared" si="7"/>
        <v>0</v>
      </c>
    </row>
    <row r="62" spans="1:30" ht="15.75" x14ac:dyDescent="0.25">
      <c r="A62" s="92"/>
      <c r="B62" s="108"/>
      <c r="C62" s="85" t="s">
        <v>78</v>
      </c>
      <c r="D62" s="44">
        <v>3.988</v>
      </c>
      <c r="E62" s="45">
        <v>1256.0999999999999</v>
      </c>
      <c r="F62" s="45">
        <f t="shared" si="48"/>
        <v>5009.3267999999998</v>
      </c>
      <c r="G62" s="109">
        <v>4775.2</v>
      </c>
      <c r="H62" s="109">
        <v>2832.8</v>
      </c>
      <c r="I62" s="109">
        <v>846.8</v>
      </c>
      <c r="J62" s="47">
        <f t="shared" si="49"/>
        <v>3679.6000000000004</v>
      </c>
      <c r="K62" s="47"/>
      <c r="L62" s="47">
        <v>0</v>
      </c>
      <c r="M62" s="47">
        <f>G62+L62</f>
        <v>4775.2</v>
      </c>
      <c r="N62" s="47">
        <f t="shared" si="50"/>
        <v>-234.1268</v>
      </c>
      <c r="O62" s="47">
        <v>2566</v>
      </c>
      <c r="P62" s="109">
        <v>1976.4</v>
      </c>
      <c r="Q62" s="109">
        <v>589.6</v>
      </c>
      <c r="R62" s="109"/>
      <c r="S62" s="48">
        <f t="shared" ref="S62:S66" si="52">O62+R62</f>
        <v>2566</v>
      </c>
      <c r="T62" s="109"/>
      <c r="U62" s="109"/>
      <c r="V62" s="110">
        <f>T62+U62</f>
        <v>0</v>
      </c>
      <c r="W62" s="51">
        <v>7</v>
      </c>
      <c r="X62" s="52">
        <v>9.5</v>
      </c>
      <c r="Y62" s="52">
        <v>5</v>
      </c>
      <c r="Z62" s="52"/>
      <c r="AA62" s="52"/>
      <c r="AB62" s="53">
        <f t="shared" si="51"/>
        <v>-2</v>
      </c>
      <c r="AC62" s="87">
        <f t="shared" si="6"/>
        <v>5</v>
      </c>
      <c r="AD62" s="54">
        <f t="shared" si="7"/>
        <v>-2</v>
      </c>
    </row>
    <row r="63" spans="1:30" ht="15.75" hidden="1" x14ac:dyDescent="0.25">
      <c r="A63" s="92"/>
      <c r="B63" s="108"/>
      <c r="C63" s="85" t="s">
        <v>79</v>
      </c>
      <c r="D63" s="44"/>
      <c r="E63" s="45"/>
      <c r="F63" s="45">
        <f t="shared" si="48"/>
        <v>0</v>
      </c>
      <c r="G63" s="82"/>
      <c r="H63" s="82"/>
      <c r="I63" s="82"/>
      <c r="J63" s="47"/>
      <c r="K63" s="47"/>
      <c r="L63" s="47"/>
      <c r="M63" s="47"/>
      <c r="N63" s="47">
        <f t="shared" si="50"/>
        <v>0</v>
      </c>
      <c r="O63" s="47"/>
      <c r="P63" s="82"/>
      <c r="Q63" s="82"/>
      <c r="R63" s="82"/>
      <c r="S63" s="48">
        <f t="shared" si="52"/>
        <v>0</v>
      </c>
      <c r="T63" s="82"/>
      <c r="U63" s="82"/>
      <c r="V63" s="110"/>
      <c r="W63" s="51"/>
      <c r="X63" s="52"/>
      <c r="Y63" s="52"/>
      <c r="Z63" s="52"/>
      <c r="AA63" s="52"/>
      <c r="AB63" s="53">
        <f t="shared" si="51"/>
        <v>0</v>
      </c>
      <c r="AC63" s="87">
        <f t="shared" si="6"/>
        <v>0</v>
      </c>
      <c r="AD63" s="54">
        <f t="shared" si="7"/>
        <v>0</v>
      </c>
    </row>
    <row r="64" spans="1:30" ht="15.75" x14ac:dyDescent="0.25">
      <c r="A64" s="92"/>
      <c r="B64" s="108"/>
      <c r="C64" s="122" t="s">
        <v>80</v>
      </c>
      <c r="D64" s="44">
        <v>1.3640000000000001</v>
      </c>
      <c r="E64" s="45">
        <v>2275.4</v>
      </c>
      <c r="F64" s="45">
        <f t="shared" si="48"/>
        <v>3103.6456000000003</v>
      </c>
      <c r="G64" s="82">
        <v>2964.5</v>
      </c>
      <c r="H64" s="82">
        <v>1486.4</v>
      </c>
      <c r="I64" s="82">
        <v>457.3</v>
      </c>
      <c r="J64" s="47">
        <f t="shared" si="49"/>
        <v>1943.7</v>
      </c>
      <c r="K64" s="47"/>
      <c r="L64" s="47">
        <v>0</v>
      </c>
      <c r="M64" s="47">
        <f>G64+L64</f>
        <v>2964.5</v>
      </c>
      <c r="N64" s="47">
        <f t="shared" si="50"/>
        <v>-139.14560000000029</v>
      </c>
      <c r="O64" s="47">
        <v>1164.8</v>
      </c>
      <c r="P64" s="82">
        <v>897.4</v>
      </c>
      <c r="Q64" s="82">
        <v>267.39999999999998</v>
      </c>
      <c r="R64" s="82"/>
      <c r="S64" s="48">
        <f t="shared" si="52"/>
        <v>1164.8</v>
      </c>
      <c r="T64" s="82"/>
      <c r="U64" s="82"/>
      <c r="V64" s="110">
        <f>T64+U64</f>
        <v>0</v>
      </c>
      <c r="W64" s="51">
        <v>5</v>
      </c>
      <c r="X64" s="52">
        <v>12.5</v>
      </c>
      <c r="Y64" s="52">
        <v>5</v>
      </c>
      <c r="Z64" s="52"/>
      <c r="AA64" s="52"/>
      <c r="AB64" s="53">
        <f t="shared" si="51"/>
        <v>0</v>
      </c>
      <c r="AC64" s="87">
        <f t="shared" si="6"/>
        <v>5</v>
      </c>
      <c r="AD64" s="54">
        <f t="shared" si="7"/>
        <v>0</v>
      </c>
    </row>
    <row r="65" spans="1:30" ht="15.75" x14ac:dyDescent="0.25">
      <c r="A65" s="92"/>
      <c r="B65" s="108"/>
      <c r="C65" s="85" t="s">
        <v>81</v>
      </c>
      <c r="D65" s="44">
        <v>1.53</v>
      </c>
      <c r="E65" s="45">
        <v>1725.7</v>
      </c>
      <c r="F65" s="45">
        <f t="shared" si="48"/>
        <v>2640.3209999999999</v>
      </c>
      <c r="G65" s="82">
        <v>2533.9</v>
      </c>
      <c r="H65" s="82">
        <v>1723.6</v>
      </c>
      <c r="I65" s="82">
        <v>514.6</v>
      </c>
      <c r="J65" s="47">
        <f t="shared" si="49"/>
        <v>2238.1999999999998</v>
      </c>
      <c r="K65" s="47"/>
      <c r="L65" s="47">
        <v>0</v>
      </c>
      <c r="M65" s="47">
        <f>G65+L65</f>
        <v>2533.9</v>
      </c>
      <c r="N65" s="47">
        <f t="shared" si="50"/>
        <v>-106.42099999999982</v>
      </c>
      <c r="O65" s="47">
        <v>1353.6</v>
      </c>
      <c r="P65" s="82">
        <v>1040.4000000000001</v>
      </c>
      <c r="Q65" s="82">
        <v>313.2</v>
      </c>
      <c r="R65" s="82"/>
      <c r="S65" s="48">
        <f t="shared" si="52"/>
        <v>1353.6</v>
      </c>
      <c r="T65" s="82"/>
      <c r="U65" s="82"/>
      <c r="V65" s="110">
        <f>T65+U65</f>
        <v>0</v>
      </c>
      <c r="W65" s="51">
        <v>4</v>
      </c>
      <c r="X65" s="52">
        <v>8.65</v>
      </c>
      <c r="Y65" s="52">
        <v>4</v>
      </c>
      <c r="Z65" s="52"/>
      <c r="AA65" s="52"/>
      <c r="AB65" s="53">
        <f t="shared" si="51"/>
        <v>0</v>
      </c>
      <c r="AC65" s="87">
        <f t="shared" si="6"/>
        <v>4</v>
      </c>
      <c r="AD65" s="54">
        <f t="shared" si="7"/>
        <v>0</v>
      </c>
    </row>
    <row r="66" spans="1:30" ht="15.75" x14ac:dyDescent="0.25">
      <c r="A66" s="92"/>
      <c r="B66" s="108"/>
      <c r="C66" s="85" t="s">
        <v>82</v>
      </c>
      <c r="D66" s="44">
        <v>2.5499999999999998</v>
      </c>
      <c r="E66" s="45">
        <v>1210.8</v>
      </c>
      <c r="F66" s="45">
        <f t="shared" si="48"/>
        <v>3087.5399999999995</v>
      </c>
      <c r="G66" s="82">
        <v>2800</v>
      </c>
      <c r="H66" s="82">
        <v>1710.1</v>
      </c>
      <c r="I66" s="82">
        <v>524.6</v>
      </c>
      <c r="J66" s="47">
        <f t="shared" si="49"/>
        <v>2234.6999999999998</v>
      </c>
      <c r="K66" s="47"/>
      <c r="L66" s="47">
        <v>0</v>
      </c>
      <c r="M66" s="47">
        <f>G66+L66</f>
        <v>2800</v>
      </c>
      <c r="N66" s="47">
        <f t="shared" si="50"/>
        <v>-287.53999999999951</v>
      </c>
      <c r="O66" s="47">
        <v>1527.1</v>
      </c>
      <c r="P66" s="82">
        <v>1166.9000000000001</v>
      </c>
      <c r="Q66" s="82">
        <v>360.2</v>
      </c>
      <c r="R66" s="82"/>
      <c r="S66" s="48">
        <f t="shared" si="52"/>
        <v>1527.1</v>
      </c>
      <c r="T66" s="82"/>
      <c r="U66" s="82"/>
      <c r="V66" s="110">
        <f>T66+U66</f>
        <v>0</v>
      </c>
      <c r="W66" s="51">
        <v>5</v>
      </c>
      <c r="X66" s="52">
        <v>9</v>
      </c>
      <c r="Y66" s="52">
        <v>5</v>
      </c>
      <c r="Z66" s="52"/>
      <c r="AA66" s="52"/>
      <c r="AB66" s="53">
        <f t="shared" si="51"/>
        <v>0</v>
      </c>
      <c r="AC66" s="87">
        <f t="shared" si="6"/>
        <v>5</v>
      </c>
      <c r="AD66" s="54">
        <f t="shared" si="7"/>
        <v>0</v>
      </c>
    </row>
    <row r="67" spans="1:30" ht="21" customHeight="1" thickBot="1" x14ac:dyDescent="0.3">
      <c r="A67" s="92"/>
      <c r="B67" s="111"/>
      <c r="C67" s="66" t="s">
        <v>65</v>
      </c>
      <c r="D67" s="123">
        <f t="shared" ref="D67" si="53">SUM(D61:D66)</f>
        <v>15.666</v>
      </c>
      <c r="E67" s="59"/>
      <c r="F67" s="59"/>
      <c r="G67" s="124">
        <f>ROUND(SUM(G61:G66),3)</f>
        <v>13328.4</v>
      </c>
      <c r="H67" s="124">
        <f t="shared" ref="H67:I67" si="54">ROUND(SUM(H61:H66),3)</f>
        <v>7929.3</v>
      </c>
      <c r="I67" s="124">
        <f t="shared" si="54"/>
        <v>2395.4</v>
      </c>
      <c r="J67" s="124">
        <f>ROUND(SUM(J61:J66),3)</f>
        <v>10324.700000000001</v>
      </c>
      <c r="K67" s="124"/>
      <c r="L67" s="124">
        <f t="shared" ref="L67:V67" si="55">ROUND(SUM(L61:L66),3)</f>
        <v>0</v>
      </c>
      <c r="M67" s="124">
        <f t="shared" si="55"/>
        <v>13328.4</v>
      </c>
      <c r="N67" s="61"/>
      <c r="O67" s="124">
        <f>ROUND(SUM(O61:O66),3)</f>
        <v>6611.5</v>
      </c>
      <c r="P67" s="124">
        <f t="shared" ref="P67:S67" si="56">ROUND(SUM(P61:P66),3)</f>
        <v>5081.1000000000004</v>
      </c>
      <c r="Q67" s="124">
        <f t="shared" si="56"/>
        <v>1530.4</v>
      </c>
      <c r="R67" s="124">
        <f t="shared" si="56"/>
        <v>0</v>
      </c>
      <c r="S67" s="124">
        <f t="shared" si="56"/>
        <v>6611.5</v>
      </c>
      <c r="T67" s="124">
        <f t="shared" si="55"/>
        <v>0</v>
      </c>
      <c r="U67" s="124">
        <f t="shared" si="55"/>
        <v>0</v>
      </c>
      <c r="V67" s="125">
        <f t="shared" si="55"/>
        <v>0</v>
      </c>
      <c r="W67" s="126"/>
      <c r="X67" s="124">
        <f>ROUND(SUM(X61:X66),3)</f>
        <v>40.65</v>
      </c>
      <c r="Y67" s="124">
        <f t="shared" ref="Y67:AA67" si="57">ROUND(SUM(Y61:Y66),3)</f>
        <v>19</v>
      </c>
      <c r="Z67" s="124">
        <f t="shared" si="57"/>
        <v>0</v>
      </c>
      <c r="AA67" s="124">
        <f t="shared" si="57"/>
        <v>0</v>
      </c>
      <c r="AB67" s="66"/>
      <c r="AC67" s="116">
        <f t="shared" si="6"/>
        <v>19</v>
      </c>
      <c r="AD67" s="68"/>
    </row>
    <row r="68" spans="1:30" ht="14.25" customHeight="1" x14ac:dyDescent="0.25">
      <c r="A68" s="92"/>
      <c r="B68" s="104" t="s">
        <v>41</v>
      </c>
      <c r="C68" s="37" t="s">
        <v>83</v>
      </c>
      <c r="D68" s="70">
        <v>9.8360000000000003</v>
      </c>
      <c r="E68" s="71">
        <v>1086.4000000000001</v>
      </c>
      <c r="F68" s="71">
        <f t="shared" ref="F68:F72" si="58">E68*D68</f>
        <v>10685.830400000001</v>
      </c>
      <c r="G68" s="105">
        <v>10567</v>
      </c>
      <c r="H68" s="105">
        <v>6229.5</v>
      </c>
      <c r="I68" s="105">
        <v>1851.6</v>
      </c>
      <c r="J68" s="73">
        <f>H68+I68</f>
        <v>8081.1</v>
      </c>
      <c r="K68" s="73"/>
      <c r="L68" s="73"/>
      <c r="M68" s="73">
        <f>G68+L68</f>
        <v>10567</v>
      </c>
      <c r="N68" s="73">
        <f>M68-F68</f>
        <v>-118.83040000000074</v>
      </c>
      <c r="O68" s="73">
        <v>6681.3</v>
      </c>
      <c r="P68" s="105">
        <v>5135.3</v>
      </c>
      <c r="Q68" s="105">
        <v>1546</v>
      </c>
      <c r="R68" s="105"/>
      <c r="S68" s="74">
        <f t="shared" ref="S68:S72" si="59">O68+R68</f>
        <v>6681.3</v>
      </c>
      <c r="T68" s="105"/>
      <c r="U68" s="105"/>
      <c r="V68" s="106">
        <f>T68+U68</f>
        <v>0</v>
      </c>
      <c r="W68" s="77">
        <v>13</v>
      </c>
      <c r="X68" s="37">
        <v>19</v>
      </c>
      <c r="Y68" s="37">
        <v>13</v>
      </c>
      <c r="Z68" s="37"/>
      <c r="AA68" s="37"/>
      <c r="AB68" s="78">
        <f t="shared" ref="AB68:AB72" si="60">(Y68+AA68)-W68</f>
        <v>0</v>
      </c>
      <c r="AC68" s="107">
        <f t="shared" si="6"/>
        <v>13</v>
      </c>
      <c r="AD68" s="79">
        <f t="shared" si="7"/>
        <v>0</v>
      </c>
    </row>
    <row r="69" spans="1:30" ht="14.25" customHeight="1" x14ac:dyDescent="0.25">
      <c r="A69" s="92"/>
      <c r="B69" s="108"/>
      <c r="C69" s="127" t="s">
        <v>84</v>
      </c>
      <c r="D69" s="44">
        <v>1.5640000000000001</v>
      </c>
      <c r="E69" s="45">
        <v>3410.6</v>
      </c>
      <c r="F69" s="45">
        <f t="shared" si="58"/>
        <v>5334.1783999999998</v>
      </c>
      <c r="G69" s="82">
        <v>5334.2</v>
      </c>
      <c r="H69" s="82">
        <v>2917</v>
      </c>
      <c r="I69" s="82">
        <v>1114.5999999999999</v>
      </c>
      <c r="J69" s="47">
        <f>H69+I69</f>
        <v>4031.6</v>
      </c>
      <c r="K69" s="47"/>
      <c r="L69" s="47"/>
      <c r="M69" s="47">
        <f>G69+L69</f>
        <v>5334.2</v>
      </c>
      <c r="N69" s="47">
        <f>M69-F69</f>
        <v>2.1600000000034925E-2</v>
      </c>
      <c r="O69" s="47">
        <v>3299.9</v>
      </c>
      <c r="P69" s="82">
        <v>2355</v>
      </c>
      <c r="Q69" s="82">
        <v>944.9</v>
      </c>
      <c r="R69" s="82"/>
      <c r="S69" s="48">
        <f t="shared" si="59"/>
        <v>3299.9</v>
      </c>
      <c r="T69" s="82"/>
      <c r="U69" s="82"/>
      <c r="V69" s="110">
        <f>T69+U69</f>
        <v>0</v>
      </c>
      <c r="W69" s="83">
        <v>9</v>
      </c>
      <c r="X69" s="52">
        <v>14</v>
      </c>
      <c r="Y69" s="52">
        <v>9</v>
      </c>
      <c r="Z69" s="52"/>
      <c r="AA69" s="52"/>
      <c r="AB69" s="53">
        <f t="shared" si="60"/>
        <v>0</v>
      </c>
      <c r="AC69" s="87">
        <f t="shared" si="6"/>
        <v>9</v>
      </c>
      <c r="AD69" s="54">
        <f t="shared" si="7"/>
        <v>0</v>
      </c>
    </row>
    <row r="70" spans="1:30" ht="14.25" customHeight="1" x14ac:dyDescent="0.25">
      <c r="A70" s="92"/>
      <c r="B70" s="108"/>
      <c r="C70" s="127" t="s">
        <v>85</v>
      </c>
      <c r="D70" s="44">
        <v>0.58099999999999996</v>
      </c>
      <c r="E70" s="45">
        <v>3836.3</v>
      </c>
      <c r="F70" s="45">
        <f t="shared" si="58"/>
        <v>2228.8903</v>
      </c>
      <c r="G70" s="82">
        <v>2228.9</v>
      </c>
      <c r="H70" s="82">
        <v>1443</v>
      </c>
      <c r="I70" s="82">
        <v>430.1</v>
      </c>
      <c r="J70" s="47">
        <f>H70+I70</f>
        <v>1873.1</v>
      </c>
      <c r="K70" s="47"/>
      <c r="L70" s="47"/>
      <c r="M70" s="47">
        <f>G70+L70</f>
        <v>2228.9</v>
      </c>
      <c r="N70" s="47">
        <f>M70-F70</f>
        <v>9.7000000000662112E-3</v>
      </c>
      <c r="O70" s="47">
        <v>1252.9000000000001</v>
      </c>
      <c r="P70" s="82">
        <v>964.7</v>
      </c>
      <c r="Q70" s="82">
        <v>288.2</v>
      </c>
      <c r="R70" s="82"/>
      <c r="S70" s="48">
        <f t="shared" si="59"/>
        <v>1252.9000000000001</v>
      </c>
      <c r="T70" s="82"/>
      <c r="U70" s="82"/>
      <c r="V70" s="110">
        <f>T70+U70</f>
        <v>0</v>
      </c>
      <c r="W70" s="83">
        <v>5</v>
      </c>
      <c r="X70" s="52">
        <v>7.7</v>
      </c>
      <c r="Y70" s="52">
        <v>5</v>
      </c>
      <c r="Z70" s="52"/>
      <c r="AA70" s="52"/>
      <c r="AB70" s="53">
        <f t="shared" si="60"/>
        <v>0</v>
      </c>
      <c r="AC70" s="87">
        <f t="shared" si="6"/>
        <v>5</v>
      </c>
      <c r="AD70" s="54">
        <f t="shared" si="7"/>
        <v>0</v>
      </c>
    </row>
    <row r="71" spans="1:30" ht="14.25" customHeight="1" x14ac:dyDescent="0.25">
      <c r="A71" s="92"/>
      <c r="B71" s="108"/>
      <c r="C71" s="127" t="s">
        <v>86</v>
      </c>
      <c r="D71" s="44">
        <v>1.7450000000000001</v>
      </c>
      <c r="E71" s="45">
        <v>2184.5</v>
      </c>
      <c r="F71" s="45">
        <f t="shared" si="58"/>
        <v>3811.9525000000003</v>
      </c>
      <c r="G71" s="82">
        <v>3811.9</v>
      </c>
      <c r="H71" s="82">
        <v>2079.6999999999998</v>
      </c>
      <c r="I71" s="82">
        <v>628.1</v>
      </c>
      <c r="J71" s="47">
        <f>H71+I71</f>
        <v>2707.7999999999997</v>
      </c>
      <c r="K71" s="47"/>
      <c r="L71" s="47"/>
      <c r="M71" s="47">
        <f>G71+L71</f>
        <v>3811.9</v>
      </c>
      <c r="N71" s="47">
        <f>M71-F71</f>
        <v>-5.2500000000236469E-2</v>
      </c>
      <c r="O71" s="47">
        <v>2442.6</v>
      </c>
      <c r="P71" s="82">
        <v>1876</v>
      </c>
      <c r="Q71" s="82">
        <v>566.6</v>
      </c>
      <c r="R71" s="82"/>
      <c r="S71" s="48">
        <f t="shared" si="59"/>
        <v>2442.6</v>
      </c>
      <c r="T71" s="82"/>
      <c r="U71" s="82"/>
      <c r="V71" s="110">
        <f>T71+U71</f>
        <v>0</v>
      </c>
      <c r="W71" s="83">
        <v>5</v>
      </c>
      <c r="X71" s="52">
        <v>6</v>
      </c>
      <c r="Y71" s="52">
        <v>5</v>
      </c>
      <c r="Z71" s="52"/>
      <c r="AA71" s="52"/>
      <c r="AB71" s="53">
        <f t="shared" si="60"/>
        <v>0</v>
      </c>
      <c r="AC71" s="87">
        <f t="shared" si="6"/>
        <v>5</v>
      </c>
      <c r="AD71" s="54">
        <f t="shared" si="7"/>
        <v>0</v>
      </c>
    </row>
    <row r="72" spans="1:30" ht="14.25" customHeight="1" x14ac:dyDescent="0.25">
      <c r="A72" s="92"/>
      <c r="B72" s="108"/>
      <c r="C72" s="127" t="s">
        <v>87</v>
      </c>
      <c r="D72" s="44">
        <v>0.82699999999999996</v>
      </c>
      <c r="E72" s="45">
        <v>3587.9</v>
      </c>
      <c r="F72" s="45">
        <f t="shared" si="58"/>
        <v>2967.1932999999999</v>
      </c>
      <c r="G72" s="82">
        <v>2719.7</v>
      </c>
      <c r="H72" s="82">
        <v>1753.3</v>
      </c>
      <c r="I72" s="82">
        <v>585.29999999999995</v>
      </c>
      <c r="J72" s="47">
        <f>H72+I72</f>
        <v>2338.6</v>
      </c>
      <c r="K72" s="47"/>
      <c r="L72" s="47">
        <v>35</v>
      </c>
      <c r="M72" s="47">
        <f>G72+L72</f>
        <v>2754.7</v>
      </c>
      <c r="N72" s="47">
        <f>M72-F72</f>
        <v>-212.49330000000009</v>
      </c>
      <c r="O72" s="47">
        <v>1833.4</v>
      </c>
      <c r="P72" s="82">
        <v>1409.1</v>
      </c>
      <c r="Q72" s="82">
        <v>424.3</v>
      </c>
      <c r="R72" s="82"/>
      <c r="S72" s="48">
        <f t="shared" si="59"/>
        <v>1833.4</v>
      </c>
      <c r="T72" s="82"/>
      <c r="U72" s="82"/>
      <c r="V72" s="110">
        <f>T72+U72</f>
        <v>0</v>
      </c>
      <c r="W72" s="83">
        <v>5</v>
      </c>
      <c r="X72" s="52">
        <v>7.5</v>
      </c>
      <c r="Y72" s="52">
        <v>5</v>
      </c>
      <c r="Z72" s="52"/>
      <c r="AA72" s="52"/>
      <c r="AB72" s="53">
        <f t="shared" si="60"/>
        <v>0</v>
      </c>
      <c r="AC72" s="87">
        <f t="shared" si="6"/>
        <v>5</v>
      </c>
      <c r="AD72" s="54">
        <f t="shared" si="7"/>
        <v>0</v>
      </c>
    </row>
    <row r="73" spans="1:30" ht="16.5" thickBot="1" x14ac:dyDescent="0.3">
      <c r="A73" s="92"/>
      <c r="B73" s="111"/>
      <c r="C73" s="66" t="s">
        <v>65</v>
      </c>
      <c r="D73" s="112">
        <f t="shared" ref="D73" si="61">D68+D69+D70+D71+D72</f>
        <v>14.552999999999999</v>
      </c>
      <c r="E73" s="59"/>
      <c r="F73" s="59"/>
      <c r="G73" s="113">
        <f t="shared" ref="G73:I73" si="62">ROUND(SUM(G68:G72),3)</f>
        <v>24661.7</v>
      </c>
      <c r="H73" s="113">
        <f t="shared" si="62"/>
        <v>14422.5</v>
      </c>
      <c r="I73" s="113">
        <f t="shared" si="62"/>
        <v>4609.7</v>
      </c>
      <c r="J73" s="113">
        <f t="shared" ref="J73:AA73" si="63">ROUND(SUM(J68:J72),3)</f>
        <v>19032.2</v>
      </c>
      <c r="K73" s="113"/>
      <c r="L73" s="113">
        <f t="shared" si="63"/>
        <v>35</v>
      </c>
      <c r="M73" s="113">
        <f t="shared" si="63"/>
        <v>24696.7</v>
      </c>
      <c r="N73" s="61"/>
      <c r="O73" s="113">
        <f t="shared" ref="O73:S73" si="64">ROUND(SUM(O68:O72),3)</f>
        <v>15510.1</v>
      </c>
      <c r="P73" s="113">
        <f t="shared" si="64"/>
        <v>11740.1</v>
      </c>
      <c r="Q73" s="113">
        <f t="shared" si="64"/>
        <v>3770</v>
      </c>
      <c r="R73" s="113">
        <f t="shared" si="64"/>
        <v>0</v>
      </c>
      <c r="S73" s="113">
        <f t="shared" si="64"/>
        <v>15510.1</v>
      </c>
      <c r="T73" s="113">
        <f t="shared" si="63"/>
        <v>0</v>
      </c>
      <c r="U73" s="113">
        <f t="shared" si="63"/>
        <v>0</v>
      </c>
      <c r="V73" s="114">
        <f t="shared" si="63"/>
        <v>0</v>
      </c>
      <c r="W73" s="113"/>
      <c r="X73" s="113">
        <f t="shared" si="63"/>
        <v>54.2</v>
      </c>
      <c r="Y73" s="113">
        <f t="shared" si="63"/>
        <v>37</v>
      </c>
      <c r="Z73" s="113">
        <f t="shared" si="63"/>
        <v>0</v>
      </c>
      <c r="AA73" s="113">
        <f t="shared" si="63"/>
        <v>0</v>
      </c>
      <c r="AB73" s="66"/>
      <c r="AC73" s="116">
        <f t="shared" si="6"/>
        <v>37</v>
      </c>
      <c r="AD73" s="68"/>
    </row>
    <row r="74" spans="1:30" ht="15.75" x14ac:dyDescent="0.25">
      <c r="A74" s="92"/>
      <c r="B74" s="104" t="s">
        <v>42</v>
      </c>
      <c r="C74" s="37" t="s">
        <v>88</v>
      </c>
      <c r="D74" s="70">
        <v>1.4379999999999999</v>
      </c>
      <c r="E74" s="71">
        <v>2450.1999999999998</v>
      </c>
      <c r="F74" s="71">
        <f t="shared" ref="F74:F84" si="65">E74*D74</f>
        <v>3523.3875999999996</v>
      </c>
      <c r="G74" s="117">
        <v>2953.9</v>
      </c>
      <c r="H74" s="117">
        <v>1877.5</v>
      </c>
      <c r="I74" s="117">
        <v>566.79999999999995</v>
      </c>
      <c r="J74" s="73">
        <f t="shared" ref="J74:J84" si="66">H74+I74</f>
        <v>2444.3000000000002</v>
      </c>
      <c r="K74" s="73">
        <f>175.1-27.9-8.4+52.9</f>
        <v>191.7</v>
      </c>
      <c r="L74" s="73">
        <f>273.4-35</f>
        <v>238.39999999999998</v>
      </c>
      <c r="M74" s="73">
        <f t="shared" ref="M74:M84" si="67">G74+L74</f>
        <v>3192.3</v>
      </c>
      <c r="N74" s="73">
        <f t="shared" ref="N74:N84" si="68">M74-F74</f>
        <v>-331.08759999999938</v>
      </c>
      <c r="O74" s="73">
        <v>1566.5</v>
      </c>
      <c r="P74" s="117">
        <v>1203.2</v>
      </c>
      <c r="Q74" s="117">
        <v>363.3</v>
      </c>
      <c r="R74" s="117">
        <f>228-36.3</f>
        <v>191.7</v>
      </c>
      <c r="S74" s="74">
        <f t="shared" ref="S74:S84" si="69">O74+R74</f>
        <v>1758.2</v>
      </c>
      <c r="T74" s="117"/>
      <c r="U74" s="117"/>
      <c r="V74" s="106">
        <f>T74+U74</f>
        <v>0</v>
      </c>
      <c r="W74" s="77">
        <v>4</v>
      </c>
      <c r="X74" s="37">
        <v>6.14</v>
      </c>
      <c r="Y74" s="37">
        <v>2.11</v>
      </c>
      <c r="Z74" s="37">
        <f>0.5-0.08</f>
        <v>0.42</v>
      </c>
      <c r="AA74" s="37">
        <f>0.5-0.06</f>
        <v>0.44</v>
      </c>
      <c r="AB74" s="78">
        <f>(Y74+AA74)-W74</f>
        <v>-1.4500000000000002</v>
      </c>
      <c r="AC74" s="107">
        <f t="shared" si="6"/>
        <v>2.5499999999999998</v>
      </c>
      <c r="AD74" s="79">
        <v>-1.4</v>
      </c>
    </row>
    <row r="75" spans="1:30" ht="15.75" x14ac:dyDescent="0.25">
      <c r="A75" s="92"/>
      <c r="B75" s="108"/>
      <c r="C75" s="52" t="s">
        <v>89</v>
      </c>
      <c r="D75" s="44">
        <v>2.8359999999999999</v>
      </c>
      <c r="E75" s="45">
        <v>1769.3</v>
      </c>
      <c r="F75" s="45">
        <f t="shared" si="65"/>
        <v>5017.7347999999993</v>
      </c>
      <c r="G75" s="82">
        <v>3704.6</v>
      </c>
      <c r="H75" s="82">
        <v>2173.6</v>
      </c>
      <c r="I75" s="82">
        <v>655.5</v>
      </c>
      <c r="J75" s="47">
        <f t="shared" si="66"/>
        <v>2829.1</v>
      </c>
      <c r="K75" s="47">
        <f>327.2+98.8-63.3-19.1</f>
        <v>343.59999999999997</v>
      </c>
      <c r="L75" s="47">
        <f>511-81.9</f>
        <v>429.1</v>
      </c>
      <c r="M75" s="47">
        <f t="shared" si="67"/>
        <v>4133.7</v>
      </c>
      <c r="N75" s="47">
        <f t="shared" si="68"/>
        <v>-884.03479999999945</v>
      </c>
      <c r="O75" s="47">
        <v>1907.1</v>
      </c>
      <c r="P75" s="82">
        <v>1465.5</v>
      </c>
      <c r="Q75" s="82">
        <v>441.7</v>
      </c>
      <c r="R75" s="82">
        <f>328.2-82.4</f>
        <v>245.79999999999998</v>
      </c>
      <c r="S75" s="48">
        <f t="shared" si="69"/>
        <v>2152.9</v>
      </c>
      <c r="T75" s="82"/>
      <c r="U75" s="82"/>
      <c r="V75" s="110">
        <f>T75+U75</f>
        <v>0</v>
      </c>
      <c r="W75" s="51">
        <v>5</v>
      </c>
      <c r="X75" s="52">
        <v>7.28</v>
      </c>
      <c r="Y75" s="52">
        <v>4.25</v>
      </c>
      <c r="Z75" s="52">
        <f>0.97-0.18</f>
        <v>0.79</v>
      </c>
      <c r="AA75" s="52">
        <f>0.72-0.15</f>
        <v>0.56999999999999995</v>
      </c>
      <c r="AB75" s="53">
        <f t="shared" ref="AB75:AB84" si="70">(Y75+AA75)-W75</f>
        <v>-0.17999999999999972</v>
      </c>
      <c r="AC75" s="87">
        <f t="shared" si="6"/>
        <v>4.82</v>
      </c>
      <c r="AD75" s="54">
        <f t="shared" si="7"/>
        <v>-0.17999999999999972</v>
      </c>
    </row>
    <row r="76" spans="1:30" ht="15.75" x14ac:dyDescent="0.25">
      <c r="A76" s="92"/>
      <c r="B76" s="108"/>
      <c r="C76" s="84" t="s">
        <v>90</v>
      </c>
      <c r="D76" s="44">
        <v>4.0750000000000002</v>
      </c>
      <c r="E76" s="45">
        <v>1222</v>
      </c>
      <c r="F76" s="45">
        <f t="shared" si="65"/>
        <v>4979.6500000000005</v>
      </c>
      <c r="G76" s="82">
        <v>4159.6000000000004</v>
      </c>
      <c r="H76" s="82">
        <v>2698</v>
      </c>
      <c r="I76" s="82">
        <v>814.7</v>
      </c>
      <c r="J76" s="47">
        <v>991.8</v>
      </c>
      <c r="K76" s="47">
        <f>433.9+131-47.1-14.2</f>
        <v>503.59999999999997</v>
      </c>
      <c r="L76" s="47">
        <f>677.7-69.3</f>
        <v>608.40000000000009</v>
      </c>
      <c r="M76" s="47">
        <f t="shared" si="67"/>
        <v>4768</v>
      </c>
      <c r="N76" s="47">
        <f t="shared" si="68"/>
        <v>-211.65000000000055</v>
      </c>
      <c r="O76" s="47">
        <v>1701.2</v>
      </c>
      <c r="P76" s="82">
        <v>1306.7</v>
      </c>
      <c r="Q76" s="82">
        <v>394.5</v>
      </c>
      <c r="R76" s="82">
        <f>341.9-61.3</f>
        <v>280.59999999999997</v>
      </c>
      <c r="S76" s="48">
        <f t="shared" si="69"/>
        <v>1981.8</v>
      </c>
      <c r="T76" s="82"/>
      <c r="U76" s="82"/>
      <c r="V76" s="110">
        <f>T76+U76</f>
        <v>0</v>
      </c>
      <c r="W76" s="51">
        <v>6</v>
      </c>
      <c r="X76" s="52">
        <v>10.25</v>
      </c>
      <c r="Y76" s="52">
        <v>4.25</v>
      </c>
      <c r="Z76" s="52">
        <f>1.32-0.14</f>
        <v>1.1800000000000002</v>
      </c>
      <c r="AA76" s="52">
        <f>0.75-0.13</f>
        <v>0.62</v>
      </c>
      <c r="AB76" s="53">
        <f t="shared" si="70"/>
        <v>-1.1299999999999999</v>
      </c>
      <c r="AC76" s="87">
        <f t="shared" si="6"/>
        <v>4.87</v>
      </c>
      <c r="AD76" s="54">
        <f t="shared" si="7"/>
        <v>-1.1299999999999999</v>
      </c>
    </row>
    <row r="77" spans="1:30" ht="15.75" x14ac:dyDescent="0.25">
      <c r="A77" s="92"/>
      <c r="B77" s="108"/>
      <c r="C77" s="84" t="s">
        <v>91</v>
      </c>
      <c r="D77" s="44">
        <v>4.4889999999999999</v>
      </c>
      <c r="E77" s="45">
        <v>1254.4000000000001</v>
      </c>
      <c r="F77" s="45">
        <f t="shared" si="65"/>
        <v>5631.0016000000005</v>
      </c>
      <c r="G77" s="82">
        <v>3824.2</v>
      </c>
      <c r="H77" s="82">
        <v>2409.3000000000002</v>
      </c>
      <c r="I77" s="82">
        <v>727.7</v>
      </c>
      <c r="J77" s="47">
        <f t="shared" si="66"/>
        <v>3137</v>
      </c>
      <c r="K77" s="47">
        <f>509.6-45.9+153.9-13.9</f>
        <v>603.70000000000005</v>
      </c>
      <c r="L77" s="47">
        <f>795.8-60.3</f>
        <v>735.5</v>
      </c>
      <c r="M77" s="47">
        <f t="shared" si="67"/>
        <v>4559.7</v>
      </c>
      <c r="N77" s="47">
        <f t="shared" si="68"/>
        <v>-1071.3016000000007</v>
      </c>
      <c r="O77" s="47">
        <v>2040.2</v>
      </c>
      <c r="P77" s="82">
        <v>1566.9</v>
      </c>
      <c r="Q77" s="82">
        <v>473.3</v>
      </c>
      <c r="R77" s="82">
        <f>319.1-59.8</f>
        <v>259.3</v>
      </c>
      <c r="S77" s="48">
        <f t="shared" si="69"/>
        <v>2299.5</v>
      </c>
      <c r="T77" s="82"/>
      <c r="U77" s="82"/>
      <c r="V77" s="110">
        <f>T77+U77</f>
        <v>0</v>
      </c>
      <c r="W77" s="51">
        <v>6</v>
      </c>
      <c r="X77" s="52">
        <v>7.18</v>
      </c>
      <c r="Y77" s="52">
        <v>4.1500000000000004</v>
      </c>
      <c r="Z77" s="52">
        <f>1.58-0.13</f>
        <v>1.4500000000000002</v>
      </c>
      <c r="AA77" s="52">
        <f>0.7-0.11</f>
        <v>0.59</v>
      </c>
      <c r="AB77" s="53">
        <f t="shared" si="70"/>
        <v>-1.2599999999999998</v>
      </c>
      <c r="AC77" s="87">
        <f t="shared" si="6"/>
        <v>4.74</v>
      </c>
      <c r="AD77" s="54">
        <f t="shared" si="7"/>
        <v>-1.2599999999999998</v>
      </c>
    </row>
    <row r="78" spans="1:30" ht="15.75" x14ac:dyDescent="0.25">
      <c r="A78" s="92"/>
      <c r="B78" s="108"/>
      <c r="C78" s="84" t="s">
        <v>92</v>
      </c>
      <c r="D78" s="44">
        <v>5.7190000000000003</v>
      </c>
      <c r="E78" s="45">
        <v>1232.3</v>
      </c>
      <c r="F78" s="45">
        <f t="shared" si="65"/>
        <v>7047.5236999999997</v>
      </c>
      <c r="G78" s="82">
        <v>6101.4</v>
      </c>
      <c r="H78" s="82">
        <v>3420.9</v>
      </c>
      <c r="I78" s="82">
        <v>1033.3</v>
      </c>
      <c r="J78" s="47">
        <f t="shared" si="66"/>
        <v>4454.2</v>
      </c>
      <c r="K78" s="47">
        <f>608.1+183.6-39.3-11.9</f>
        <v>740.50000000000011</v>
      </c>
      <c r="L78" s="47">
        <f>950.5-75.1</f>
        <v>875.4</v>
      </c>
      <c r="M78" s="47">
        <f t="shared" si="67"/>
        <v>6976.7999999999993</v>
      </c>
      <c r="N78" s="47">
        <f t="shared" si="68"/>
        <v>-70.723700000000463</v>
      </c>
      <c r="O78" s="47">
        <v>1714.1</v>
      </c>
      <c r="P78" s="82">
        <v>1316.5</v>
      </c>
      <c r="Q78" s="82">
        <v>397.6</v>
      </c>
      <c r="R78" s="82">
        <f>478.6-51.2</f>
        <v>427.40000000000003</v>
      </c>
      <c r="S78" s="48">
        <f t="shared" si="69"/>
        <v>2141.5</v>
      </c>
      <c r="T78" s="82"/>
      <c r="U78" s="82"/>
      <c r="V78" s="110"/>
      <c r="W78" s="51">
        <v>6</v>
      </c>
      <c r="X78" s="52">
        <v>15.25</v>
      </c>
      <c r="Y78" s="52">
        <v>5.14</v>
      </c>
      <c r="Z78" s="52">
        <f>1.85-0.11</f>
        <v>1.74</v>
      </c>
      <c r="AA78" s="52">
        <f>1-0.14</f>
        <v>0.86</v>
      </c>
      <c r="AB78" s="53">
        <f t="shared" si="70"/>
        <v>0</v>
      </c>
      <c r="AC78" s="87">
        <f t="shared" si="6"/>
        <v>6</v>
      </c>
      <c r="AD78" s="54">
        <f t="shared" si="7"/>
        <v>0</v>
      </c>
    </row>
    <row r="79" spans="1:30" ht="15.75" x14ac:dyDescent="0.25">
      <c r="A79" s="92"/>
      <c r="B79" s="108"/>
      <c r="C79" s="52" t="s">
        <v>93</v>
      </c>
      <c r="D79" s="44">
        <v>1.954</v>
      </c>
      <c r="E79" s="45">
        <v>2175.3000000000002</v>
      </c>
      <c r="F79" s="45">
        <f t="shared" si="65"/>
        <v>4250.5362000000005</v>
      </c>
      <c r="G79" s="82">
        <v>3783.3</v>
      </c>
      <c r="H79" s="82">
        <v>2390.3000000000002</v>
      </c>
      <c r="I79" s="82">
        <v>721.9</v>
      </c>
      <c r="J79" s="47">
        <f t="shared" si="66"/>
        <v>3112.2000000000003</v>
      </c>
      <c r="K79" s="47">
        <f>229.2-36.3+69.2-11</f>
        <v>251.09999999999997</v>
      </c>
      <c r="L79" s="47">
        <f>357.9-53.5</f>
        <v>304.39999999999998</v>
      </c>
      <c r="M79" s="47">
        <f t="shared" si="67"/>
        <v>4087.7000000000003</v>
      </c>
      <c r="N79" s="47">
        <f t="shared" si="68"/>
        <v>-162.83620000000019</v>
      </c>
      <c r="O79" s="47">
        <v>1893.2</v>
      </c>
      <c r="P79" s="82">
        <v>1454</v>
      </c>
      <c r="Q79" s="82">
        <v>439.2</v>
      </c>
      <c r="R79" s="82">
        <f>228-47.3</f>
        <v>180.7</v>
      </c>
      <c r="S79" s="48">
        <f t="shared" si="69"/>
        <v>2073.9</v>
      </c>
      <c r="T79" s="82"/>
      <c r="U79" s="82"/>
      <c r="V79" s="110">
        <f>T79+U79</f>
        <v>0</v>
      </c>
      <c r="W79" s="51">
        <v>5</v>
      </c>
      <c r="X79" s="52">
        <v>8.25</v>
      </c>
      <c r="Y79" s="52">
        <v>4.25</v>
      </c>
      <c r="Z79" s="52">
        <f>0.68-0.1</f>
        <v>0.58000000000000007</v>
      </c>
      <c r="AA79" s="52">
        <f>0.5-0.1</f>
        <v>0.4</v>
      </c>
      <c r="AB79" s="53">
        <f t="shared" si="70"/>
        <v>-0.34999999999999964</v>
      </c>
      <c r="AC79" s="87">
        <f t="shared" si="6"/>
        <v>4.6500000000000004</v>
      </c>
      <c r="AD79" s="54">
        <v>-0.3</v>
      </c>
    </row>
    <row r="80" spans="1:30" ht="15.75" x14ac:dyDescent="0.25">
      <c r="A80" s="92"/>
      <c r="B80" s="108"/>
      <c r="C80" s="52" t="s">
        <v>94</v>
      </c>
      <c r="D80" s="44">
        <v>10.315</v>
      </c>
      <c r="E80" s="45">
        <v>1169.5999999999999</v>
      </c>
      <c r="F80" s="45">
        <f t="shared" si="65"/>
        <v>12064.423999999999</v>
      </c>
      <c r="G80" s="82">
        <v>9738.2999999999993</v>
      </c>
      <c r="H80" s="82">
        <v>4785.2</v>
      </c>
      <c r="I80" s="82">
        <v>1445</v>
      </c>
      <c r="J80" s="47">
        <f t="shared" si="66"/>
        <v>6230.2</v>
      </c>
      <c r="K80" s="47">
        <f>1180.3-39+356.5-11.8</f>
        <v>1486</v>
      </c>
      <c r="L80" s="47">
        <f>1843.3-99.3</f>
        <v>1744</v>
      </c>
      <c r="M80" s="47">
        <f t="shared" si="67"/>
        <v>11482.3</v>
      </c>
      <c r="N80" s="47">
        <f t="shared" si="68"/>
        <v>-582.1239999999998</v>
      </c>
      <c r="O80" s="47">
        <v>2140.8000000000002</v>
      </c>
      <c r="P80" s="82">
        <v>1644.3</v>
      </c>
      <c r="Q80" s="82">
        <v>496.5</v>
      </c>
      <c r="R80" s="82">
        <f>405.7-50.8</f>
        <v>354.9</v>
      </c>
      <c r="S80" s="48">
        <f t="shared" si="69"/>
        <v>2495.7000000000003</v>
      </c>
      <c r="T80" s="82"/>
      <c r="U80" s="82"/>
      <c r="V80" s="110"/>
      <c r="W80" s="51">
        <v>6</v>
      </c>
      <c r="X80" s="52">
        <v>14.14</v>
      </c>
      <c r="Y80" s="52">
        <v>5.2</v>
      </c>
      <c r="Z80" s="52">
        <f>3.78-0.11</f>
        <v>3.67</v>
      </c>
      <c r="AA80" s="52">
        <f>0.89-0.18</f>
        <v>0.71</v>
      </c>
      <c r="AB80" s="53">
        <f t="shared" si="70"/>
        <v>-8.9999999999999858E-2</v>
      </c>
      <c r="AC80" s="87">
        <f t="shared" si="6"/>
        <v>5.91</v>
      </c>
      <c r="AD80" s="54">
        <f t="shared" si="7"/>
        <v>-8.9999999999999858E-2</v>
      </c>
    </row>
    <row r="81" spans="1:30" ht="15.75" x14ac:dyDescent="0.25">
      <c r="A81" s="92"/>
      <c r="B81" s="108"/>
      <c r="C81" s="52" t="s">
        <v>95</v>
      </c>
      <c r="D81" s="44">
        <v>1.1839999999999999</v>
      </c>
      <c r="E81" s="45">
        <v>2123.9</v>
      </c>
      <c r="F81" s="45">
        <f t="shared" si="65"/>
        <v>2514.6976</v>
      </c>
      <c r="G81" s="82">
        <v>1929.4</v>
      </c>
      <c r="H81" s="82">
        <v>1394</v>
      </c>
      <c r="I81" s="82">
        <v>421</v>
      </c>
      <c r="J81" s="47">
        <f t="shared" si="66"/>
        <v>1815</v>
      </c>
      <c r="K81" s="47">
        <f>134.1-12.1+40.5-3.7</f>
        <v>158.80000000000001</v>
      </c>
      <c r="L81" s="47">
        <f>209.4-17.4</f>
        <v>192</v>
      </c>
      <c r="M81" s="47">
        <f>G81+L81</f>
        <v>2121.4</v>
      </c>
      <c r="N81" s="47">
        <f t="shared" si="68"/>
        <v>-393.29759999999987</v>
      </c>
      <c r="O81" s="47">
        <v>1357.8</v>
      </c>
      <c r="P81" s="82">
        <v>1042.8</v>
      </c>
      <c r="Q81" s="82">
        <v>315</v>
      </c>
      <c r="R81" s="82">
        <f>155-15.8</f>
        <v>139.19999999999999</v>
      </c>
      <c r="S81" s="48">
        <f t="shared" si="69"/>
        <v>1497</v>
      </c>
      <c r="T81" s="82"/>
      <c r="U81" s="82"/>
      <c r="V81" s="110">
        <f>T81+U81</f>
        <v>0</v>
      </c>
      <c r="W81" s="51">
        <v>4</v>
      </c>
      <c r="X81" s="52">
        <v>3.57</v>
      </c>
      <c r="Y81" s="52">
        <v>2.5499999999999998</v>
      </c>
      <c r="Z81" s="52">
        <f>0.39-0.04</f>
        <v>0.35000000000000003</v>
      </c>
      <c r="AA81" s="52">
        <f>0.34-0.03</f>
        <v>0.31000000000000005</v>
      </c>
      <c r="AB81" s="53">
        <f t="shared" si="70"/>
        <v>-1.1400000000000001</v>
      </c>
      <c r="AC81" s="87">
        <f t="shared" si="6"/>
        <v>2.86</v>
      </c>
      <c r="AD81" s="54">
        <f t="shared" si="7"/>
        <v>-1.1400000000000001</v>
      </c>
    </row>
    <row r="82" spans="1:30" ht="15.75" x14ac:dyDescent="0.25">
      <c r="A82" s="92"/>
      <c r="B82" s="108"/>
      <c r="C82" s="52" t="s">
        <v>96</v>
      </c>
      <c r="D82" s="44">
        <v>2.984</v>
      </c>
      <c r="E82" s="45">
        <v>1151.5999999999999</v>
      </c>
      <c r="F82" s="45">
        <f t="shared" si="65"/>
        <v>3436.3743999999997</v>
      </c>
      <c r="G82" s="82">
        <v>2786.6</v>
      </c>
      <c r="H82" s="82">
        <v>2407.6</v>
      </c>
      <c r="I82" s="82">
        <v>727</v>
      </c>
      <c r="J82" s="47">
        <f t="shared" si="66"/>
        <v>3134.6</v>
      </c>
      <c r="K82" s="47">
        <f>345.3+104.3-10.8-3.3</f>
        <v>435.5</v>
      </c>
      <c r="L82" s="47">
        <f>539.3-13.1</f>
        <v>526.19999999999993</v>
      </c>
      <c r="M82" s="47">
        <f t="shared" si="67"/>
        <v>3312.7999999999997</v>
      </c>
      <c r="N82" s="47">
        <f t="shared" si="68"/>
        <v>-123.57439999999997</v>
      </c>
      <c r="O82" s="47">
        <v>1544.7</v>
      </c>
      <c r="P82" s="82">
        <v>1186.4000000000001</v>
      </c>
      <c r="Q82" s="82">
        <v>358.3</v>
      </c>
      <c r="R82" s="82">
        <f>300.9-14.1</f>
        <v>286.79999999999995</v>
      </c>
      <c r="S82" s="48">
        <f t="shared" si="69"/>
        <v>1831.5</v>
      </c>
      <c r="T82" s="82"/>
      <c r="U82" s="82"/>
      <c r="V82" s="110"/>
      <c r="W82" s="51">
        <v>5</v>
      </c>
      <c r="X82" s="52">
        <v>8.07</v>
      </c>
      <c r="Y82" s="52">
        <v>3.05</v>
      </c>
      <c r="Z82" s="52">
        <f>-0.03+1.04</f>
        <v>1.01</v>
      </c>
      <c r="AA82" s="52">
        <f>0.71-0.02</f>
        <v>0.69</v>
      </c>
      <c r="AB82" s="53">
        <f t="shared" si="70"/>
        <v>-1.2600000000000002</v>
      </c>
      <c r="AC82" s="87">
        <f t="shared" si="6"/>
        <v>3.7399999999999998</v>
      </c>
      <c r="AD82" s="54">
        <f t="shared" si="7"/>
        <v>-1.2600000000000002</v>
      </c>
    </row>
    <row r="83" spans="1:30" ht="16.5" customHeight="1" x14ac:dyDescent="0.25">
      <c r="A83" s="92"/>
      <c r="B83" s="108"/>
      <c r="C83" s="52" t="s">
        <v>97</v>
      </c>
      <c r="D83" s="44">
        <v>1.0369999999999999</v>
      </c>
      <c r="E83" s="45">
        <v>3277.7</v>
      </c>
      <c r="F83" s="45">
        <f t="shared" si="65"/>
        <v>3398.9748999999997</v>
      </c>
      <c r="G83" s="82">
        <v>2693.5</v>
      </c>
      <c r="H83" s="82">
        <v>1655</v>
      </c>
      <c r="I83" s="82">
        <v>499.7</v>
      </c>
      <c r="J83" s="47">
        <f t="shared" si="66"/>
        <v>2154.6999999999998</v>
      </c>
      <c r="K83" s="47">
        <f>133+40.2-23.7-7.2</f>
        <v>142.30000000000001</v>
      </c>
      <c r="L83" s="47">
        <f>207.8-33.2</f>
        <v>174.60000000000002</v>
      </c>
      <c r="M83" s="47">
        <f t="shared" si="67"/>
        <v>2868.1</v>
      </c>
      <c r="N83" s="47">
        <f t="shared" si="68"/>
        <v>-530.8748999999998</v>
      </c>
      <c r="O83" s="47">
        <v>1449.9</v>
      </c>
      <c r="P83" s="82">
        <v>1113.5999999999999</v>
      </c>
      <c r="Q83" s="82">
        <v>336.3</v>
      </c>
      <c r="R83" s="82">
        <f>173.2-30.9</f>
        <v>142.29999999999998</v>
      </c>
      <c r="S83" s="48">
        <f t="shared" si="69"/>
        <v>1592.2</v>
      </c>
      <c r="T83" s="82"/>
      <c r="U83" s="82"/>
      <c r="V83" s="110">
        <f>T83+U83</f>
        <v>0</v>
      </c>
      <c r="W83" s="51">
        <v>4</v>
      </c>
      <c r="X83" s="52">
        <v>4.9400000000000004</v>
      </c>
      <c r="Y83" s="52">
        <f>2.06</f>
        <v>2.06</v>
      </c>
      <c r="Z83" s="52">
        <f>0.38-0.07</f>
        <v>0.31</v>
      </c>
      <c r="AA83" s="52">
        <f>0.38-0.06</f>
        <v>0.32</v>
      </c>
      <c r="AB83" s="53">
        <f t="shared" si="70"/>
        <v>-1.62</v>
      </c>
      <c r="AC83" s="87">
        <f t="shared" si="6"/>
        <v>2.38</v>
      </c>
      <c r="AD83" s="54">
        <f t="shared" si="7"/>
        <v>-1.62</v>
      </c>
    </row>
    <row r="84" spans="1:30" ht="16.5" customHeight="1" x14ac:dyDescent="0.25">
      <c r="A84" s="92"/>
      <c r="B84" s="108"/>
      <c r="C84" s="52" t="s">
        <v>98</v>
      </c>
      <c r="D84" s="44">
        <v>1.573</v>
      </c>
      <c r="E84" s="45">
        <v>1985.3</v>
      </c>
      <c r="F84" s="45">
        <f t="shared" si="65"/>
        <v>3122.8768999999998</v>
      </c>
      <c r="G84" s="82">
        <v>2653.9</v>
      </c>
      <c r="H84" s="82">
        <v>1572.4</v>
      </c>
      <c r="I84" s="82">
        <v>474.8</v>
      </c>
      <c r="J84" s="47">
        <f t="shared" si="66"/>
        <v>2047.2</v>
      </c>
      <c r="K84" s="47">
        <f>178.6-4.2+53.9-1.3</f>
        <v>227</v>
      </c>
      <c r="L84" s="47">
        <f>278.9-9.2</f>
        <v>269.7</v>
      </c>
      <c r="M84" s="47">
        <f t="shared" si="67"/>
        <v>2923.6</v>
      </c>
      <c r="N84" s="47">
        <f t="shared" si="68"/>
        <v>-199.27689999999984</v>
      </c>
      <c r="O84" s="47">
        <v>1470.2</v>
      </c>
      <c r="P84" s="82">
        <v>1129.4000000000001</v>
      </c>
      <c r="Q84" s="82">
        <v>341.1</v>
      </c>
      <c r="R84" s="82">
        <f>232.5-5.5</f>
        <v>227</v>
      </c>
      <c r="S84" s="48">
        <f t="shared" si="69"/>
        <v>1697.2</v>
      </c>
      <c r="T84" s="82"/>
      <c r="U84" s="82"/>
      <c r="V84" s="110">
        <f>T84+U84</f>
        <v>0</v>
      </c>
      <c r="W84" s="51">
        <v>4</v>
      </c>
      <c r="X84" s="52">
        <v>5.0199999999999996</v>
      </c>
      <c r="Y84" s="52">
        <v>3.03</v>
      </c>
      <c r="Z84" s="52">
        <f>0.51-0.01</f>
        <v>0.5</v>
      </c>
      <c r="AA84" s="52">
        <f>0.51-0.02</f>
        <v>0.49</v>
      </c>
      <c r="AB84" s="53">
        <f t="shared" si="70"/>
        <v>-0.48000000000000043</v>
      </c>
      <c r="AC84" s="87">
        <f t="shared" si="6"/>
        <v>3.5199999999999996</v>
      </c>
      <c r="AD84" s="54">
        <f t="shared" si="7"/>
        <v>-0.48000000000000043</v>
      </c>
    </row>
    <row r="85" spans="1:30" ht="22.5" customHeight="1" thickBot="1" x14ac:dyDescent="0.3">
      <c r="A85" s="92"/>
      <c r="B85" s="128"/>
      <c r="C85" s="129" t="s">
        <v>65</v>
      </c>
      <c r="D85" s="130">
        <f>ROUND(SUM(D74:D84),3)</f>
        <v>37.603999999999999</v>
      </c>
      <c r="E85" s="131"/>
      <c r="F85" s="131"/>
      <c r="G85" s="132">
        <f>ROUND(SUM(G74:G84),3)</f>
        <v>44328.7</v>
      </c>
      <c r="H85" s="132">
        <f t="shared" ref="H85:M85" si="71">ROUND(SUM(H74:H84),3)</f>
        <v>26783.8</v>
      </c>
      <c r="I85" s="132">
        <f t="shared" si="71"/>
        <v>8087.4</v>
      </c>
      <c r="J85" s="132">
        <f t="shared" si="71"/>
        <v>32350.3</v>
      </c>
      <c r="K85" s="132">
        <f t="shared" si="71"/>
        <v>5083.8</v>
      </c>
      <c r="L85" s="132">
        <f t="shared" si="71"/>
        <v>6097.7</v>
      </c>
      <c r="M85" s="132">
        <f t="shared" si="71"/>
        <v>50426.400000000001</v>
      </c>
      <c r="N85" s="133"/>
      <c r="O85" s="132">
        <f t="shared" ref="O85:S85" si="72">ROUND(SUM(O74:O84),3)</f>
        <v>18785.7</v>
      </c>
      <c r="P85" s="132">
        <f t="shared" si="72"/>
        <v>14429.3</v>
      </c>
      <c r="Q85" s="132">
        <f t="shared" si="72"/>
        <v>4356.8</v>
      </c>
      <c r="R85" s="132">
        <f t="shared" si="72"/>
        <v>2735.7</v>
      </c>
      <c r="S85" s="132">
        <f t="shared" si="72"/>
        <v>21521.4</v>
      </c>
      <c r="T85" s="132">
        <f>ROUND(SUM(T74:T84),3)</f>
        <v>0</v>
      </c>
      <c r="U85" s="132">
        <f>ROUND(SUM(U74:U84),3)</f>
        <v>0</v>
      </c>
      <c r="V85" s="134">
        <f>ROUND(SUM(V74:V84),3)</f>
        <v>0</v>
      </c>
      <c r="W85" s="135"/>
      <c r="X85" s="132">
        <f t="shared" ref="X85:AA85" si="73">ROUND(SUM(X74:X84),3)</f>
        <v>90.09</v>
      </c>
      <c r="Y85" s="132">
        <f t="shared" si="73"/>
        <v>40.04</v>
      </c>
      <c r="Z85" s="132">
        <f t="shared" si="73"/>
        <v>12</v>
      </c>
      <c r="AA85" s="132">
        <f t="shared" si="73"/>
        <v>6</v>
      </c>
      <c r="AB85" s="129"/>
      <c r="AC85" s="132">
        <f t="shared" si="6"/>
        <v>46.04</v>
      </c>
      <c r="AD85" s="136"/>
    </row>
    <row r="86" spans="1:30" ht="16.5" customHeight="1" x14ac:dyDescent="0.25">
      <c r="A86" s="92"/>
      <c r="B86" s="104" t="s">
        <v>43</v>
      </c>
      <c r="C86" s="37" t="s">
        <v>99</v>
      </c>
      <c r="D86" s="70">
        <v>3.415</v>
      </c>
      <c r="E86" s="71">
        <v>499.2</v>
      </c>
      <c r="F86" s="71">
        <f t="shared" ref="F86:F90" si="74">E86*D86</f>
        <v>1704.768</v>
      </c>
      <c r="G86" s="105">
        <v>1502.5</v>
      </c>
      <c r="H86" s="105">
        <v>876.5</v>
      </c>
      <c r="I86" s="105">
        <v>267.39999999999998</v>
      </c>
      <c r="J86" s="73">
        <f>H86+I86</f>
        <v>1143.9000000000001</v>
      </c>
      <c r="K86" s="73"/>
      <c r="L86" s="73">
        <v>2</v>
      </c>
      <c r="M86" s="73">
        <f>G86+L86</f>
        <v>1504.5</v>
      </c>
      <c r="N86" s="73">
        <f>M86-F86</f>
        <v>-200.26800000000003</v>
      </c>
      <c r="O86" s="73">
        <v>767.7</v>
      </c>
      <c r="P86" s="105">
        <v>590.6</v>
      </c>
      <c r="Q86" s="105">
        <v>177.1</v>
      </c>
      <c r="R86" s="105"/>
      <c r="S86" s="74">
        <f t="shared" ref="S86:S90" si="75">O86+R86</f>
        <v>767.7</v>
      </c>
      <c r="T86" s="105"/>
      <c r="U86" s="105"/>
      <c r="V86" s="106">
        <f>T86+U86</f>
        <v>0</v>
      </c>
      <c r="W86" s="77">
        <v>2</v>
      </c>
      <c r="X86" s="37">
        <v>3.5</v>
      </c>
      <c r="Y86" s="37">
        <v>1.75</v>
      </c>
      <c r="Z86" s="37"/>
      <c r="AA86" s="37"/>
      <c r="AB86" s="78">
        <f t="shared" ref="AB86:AB90" si="76">(Y86+AA86)-W86</f>
        <v>-0.25</v>
      </c>
      <c r="AC86" s="107">
        <f t="shared" si="6"/>
        <v>1.75</v>
      </c>
      <c r="AD86" s="79">
        <v>-0.2</v>
      </c>
    </row>
    <row r="87" spans="1:30" ht="16.5" customHeight="1" x14ac:dyDescent="0.25">
      <c r="A87" s="92"/>
      <c r="B87" s="108"/>
      <c r="C87" s="84" t="s">
        <v>100</v>
      </c>
      <c r="D87" s="44">
        <v>2.2090000000000001</v>
      </c>
      <c r="E87" s="45">
        <v>1710.4</v>
      </c>
      <c r="F87" s="45">
        <f t="shared" si="74"/>
        <v>3778.2736000000004</v>
      </c>
      <c r="G87" s="82">
        <v>3774.3</v>
      </c>
      <c r="H87" s="82">
        <v>2288.6999999999998</v>
      </c>
      <c r="I87" s="82">
        <v>693.5</v>
      </c>
      <c r="J87" s="47">
        <f>H87+I87</f>
        <v>2982.2</v>
      </c>
      <c r="K87" s="47">
        <f>-39.4-11.9</f>
        <v>-51.3</v>
      </c>
      <c r="L87" s="47">
        <v>4</v>
      </c>
      <c r="M87" s="47">
        <f>G87+L87</f>
        <v>3778.3</v>
      </c>
      <c r="N87" s="137">
        <f>M87-F87</f>
        <v>2.6399999999739521E-2</v>
      </c>
      <c r="O87" s="47">
        <v>2208.1</v>
      </c>
      <c r="P87" s="82">
        <v>1687.9</v>
      </c>
      <c r="Q87" s="82">
        <v>520.20000000000005</v>
      </c>
      <c r="R87" s="82"/>
      <c r="S87" s="48">
        <f t="shared" si="75"/>
        <v>2208.1</v>
      </c>
      <c r="T87" s="82"/>
      <c r="U87" s="82"/>
      <c r="V87" s="110">
        <f>T87+U87</f>
        <v>0</v>
      </c>
      <c r="W87" s="51">
        <v>5</v>
      </c>
      <c r="X87" s="52">
        <v>8.25</v>
      </c>
      <c r="Y87" s="52">
        <v>5</v>
      </c>
      <c r="Z87" s="52">
        <f>-0.25</f>
        <v>-0.25</v>
      </c>
      <c r="AA87" s="52"/>
      <c r="AB87" s="53">
        <f t="shared" si="76"/>
        <v>0</v>
      </c>
      <c r="AC87" s="87">
        <f t="shared" si="6"/>
        <v>5</v>
      </c>
      <c r="AD87" s="54">
        <f t="shared" si="7"/>
        <v>0</v>
      </c>
    </row>
    <row r="88" spans="1:30" ht="16.5" customHeight="1" x14ac:dyDescent="0.25">
      <c r="A88" s="92"/>
      <c r="B88" s="108"/>
      <c r="C88" s="52" t="s">
        <v>101</v>
      </c>
      <c r="D88" s="44">
        <v>1.0489999999999999</v>
      </c>
      <c r="E88" s="45">
        <v>2180.6999999999998</v>
      </c>
      <c r="F88" s="45">
        <f t="shared" si="74"/>
        <v>2287.5542999999998</v>
      </c>
      <c r="G88" s="82">
        <v>2204.5</v>
      </c>
      <c r="H88" s="82">
        <v>1400.6</v>
      </c>
      <c r="I88" s="82">
        <v>417.3</v>
      </c>
      <c r="J88" s="47">
        <f>H88+I88</f>
        <v>1817.8999999999999</v>
      </c>
      <c r="K88" s="47">
        <f>-39.5-11.9</f>
        <v>-51.4</v>
      </c>
      <c r="L88" s="47">
        <v>4</v>
      </c>
      <c r="M88" s="47">
        <f>G88+L88</f>
        <v>2208.5</v>
      </c>
      <c r="N88" s="47">
        <f>M88-F88</f>
        <v>-79.054299999999785</v>
      </c>
      <c r="O88" s="47">
        <v>984.5</v>
      </c>
      <c r="P88" s="82">
        <v>756.4</v>
      </c>
      <c r="Q88" s="82">
        <v>228.1</v>
      </c>
      <c r="R88" s="82"/>
      <c r="S88" s="48">
        <f t="shared" si="75"/>
        <v>984.5</v>
      </c>
      <c r="T88" s="82"/>
      <c r="U88" s="82"/>
      <c r="V88" s="110">
        <f>T88+U88</f>
        <v>0</v>
      </c>
      <c r="W88" s="51">
        <v>4</v>
      </c>
      <c r="X88" s="52">
        <v>5.5</v>
      </c>
      <c r="Y88" s="52">
        <v>2</v>
      </c>
      <c r="Z88" s="52">
        <v>-0.25</v>
      </c>
      <c r="AA88" s="52"/>
      <c r="AB88" s="53">
        <f t="shared" si="76"/>
        <v>-2</v>
      </c>
      <c r="AC88" s="87">
        <f t="shared" ref="AC88:AC152" si="77">Y88+AA88</f>
        <v>2</v>
      </c>
      <c r="AD88" s="54">
        <f t="shared" ref="AD88:AD152" si="78">AC88-W88</f>
        <v>-2</v>
      </c>
    </row>
    <row r="89" spans="1:30" ht="16.5" customHeight="1" x14ac:dyDescent="0.25">
      <c r="A89" s="92"/>
      <c r="B89" s="108"/>
      <c r="C89" s="52" t="s">
        <v>102</v>
      </c>
      <c r="D89" s="44">
        <v>0.65</v>
      </c>
      <c r="E89" s="45">
        <v>2369.6999999999998</v>
      </c>
      <c r="F89" s="45">
        <f t="shared" si="74"/>
        <v>1540.3049999999998</v>
      </c>
      <c r="G89" s="82">
        <v>1536.3</v>
      </c>
      <c r="H89" s="82">
        <v>1007.5</v>
      </c>
      <c r="I89" s="82">
        <v>293.39999999999998</v>
      </c>
      <c r="J89" s="47">
        <f>H89+I89</f>
        <v>1300.9000000000001</v>
      </c>
      <c r="K89" s="47">
        <f>-29.2-8.9</f>
        <v>-38.1</v>
      </c>
      <c r="L89" s="47">
        <v>4</v>
      </c>
      <c r="M89" s="47">
        <f>G89+L89</f>
        <v>1540.3</v>
      </c>
      <c r="N89" s="47">
        <f>M89-F89</f>
        <v>-4.9999999998817657E-3</v>
      </c>
      <c r="O89" s="47">
        <v>848.4</v>
      </c>
      <c r="P89" s="82">
        <v>658.1</v>
      </c>
      <c r="Q89" s="82">
        <v>190.3</v>
      </c>
      <c r="R89" s="82"/>
      <c r="S89" s="48">
        <f t="shared" si="75"/>
        <v>848.4</v>
      </c>
      <c r="T89" s="82"/>
      <c r="U89" s="82"/>
      <c r="V89" s="110">
        <f>T89+U89</f>
        <v>0</v>
      </c>
      <c r="W89" s="51">
        <v>3</v>
      </c>
      <c r="X89" s="52">
        <v>6</v>
      </c>
      <c r="Y89" s="52">
        <v>3</v>
      </c>
      <c r="Z89" s="52">
        <v>-0.25</v>
      </c>
      <c r="AA89" s="52"/>
      <c r="AB89" s="53">
        <f t="shared" si="76"/>
        <v>0</v>
      </c>
      <c r="AC89" s="87">
        <f t="shared" si="77"/>
        <v>3</v>
      </c>
      <c r="AD89" s="54">
        <f t="shared" si="78"/>
        <v>0</v>
      </c>
    </row>
    <row r="90" spans="1:30" ht="16.5" customHeight="1" x14ac:dyDescent="0.25">
      <c r="A90" s="92"/>
      <c r="B90" s="108"/>
      <c r="C90" s="52" t="s">
        <v>103</v>
      </c>
      <c r="D90" s="44">
        <v>0.752</v>
      </c>
      <c r="E90" s="45">
        <v>2613.4</v>
      </c>
      <c r="F90" s="45">
        <f t="shared" si="74"/>
        <v>1965.2768000000001</v>
      </c>
      <c r="G90" s="82">
        <v>1591.7</v>
      </c>
      <c r="H90" s="82">
        <v>1115.9000000000001</v>
      </c>
      <c r="I90" s="82">
        <v>352.2</v>
      </c>
      <c r="J90" s="47">
        <f>H90+I90</f>
        <v>1468.1000000000001</v>
      </c>
      <c r="K90" s="47">
        <f>-36.1-10.6</f>
        <v>-46.7</v>
      </c>
      <c r="L90" s="47">
        <v>4</v>
      </c>
      <c r="M90" s="47">
        <f>G90+L90</f>
        <v>1595.7</v>
      </c>
      <c r="N90" s="47">
        <f>M90-F90</f>
        <v>-369.57680000000005</v>
      </c>
      <c r="O90" s="47">
        <v>663.3</v>
      </c>
      <c r="P90" s="82">
        <v>520.5</v>
      </c>
      <c r="Q90" s="82">
        <v>142.80000000000001</v>
      </c>
      <c r="R90" s="82"/>
      <c r="S90" s="48">
        <f t="shared" si="75"/>
        <v>663.3</v>
      </c>
      <c r="T90" s="82"/>
      <c r="U90" s="82"/>
      <c r="V90" s="110">
        <f>T90+U90</f>
        <v>0</v>
      </c>
      <c r="W90" s="51">
        <v>3</v>
      </c>
      <c r="X90" s="52">
        <v>5.25</v>
      </c>
      <c r="Y90" s="52">
        <v>2</v>
      </c>
      <c r="Z90" s="52">
        <v>-0.25</v>
      </c>
      <c r="AA90" s="52"/>
      <c r="AB90" s="53">
        <f t="shared" si="76"/>
        <v>-1</v>
      </c>
      <c r="AC90" s="87">
        <f t="shared" si="77"/>
        <v>2</v>
      </c>
      <c r="AD90" s="54">
        <f t="shared" si="78"/>
        <v>-1</v>
      </c>
    </row>
    <row r="91" spans="1:30" ht="16.5" customHeight="1" thickBot="1" x14ac:dyDescent="0.3">
      <c r="A91" s="92"/>
      <c r="B91" s="111"/>
      <c r="C91" s="66" t="s">
        <v>65</v>
      </c>
      <c r="D91" s="138">
        <f t="shared" ref="D91" si="79">ROUND(SUM(D86:D90),3)</f>
        <v>8.0749999999999993</v>
      </c>
      <c r="E91" s="59"/>
      <c r="F91" s="59"/>
      <c r="G91" s="116">
        <f t="shared" ref="G91:V91" si="80">ROUND(SUM(G86:G90),3)</f>
        <v>10609.3</v>
      </c>
      <c r="H91" s="116">
        <f t="shared" si="80"/>
        <v>6689.2</v>
      </c>
      <c r="I91" s="116">
        <f t="shared" si="80"/>
        <v>2023.8</v>
      </c>
      <c r="J91" s="116">
        <f t="shared" si="80"/>
        <v>8713</v>
      </c>
      <c r="K91" s="116">
        <f t="shared" si="80"/>
        <v>-187.5</v>
      </c>
      <c r="L91" s="116">
        <f t="shared" si="80"/>
        <v>18</v>
      </c>
      <c r="M91" s="116">
        <f t="shared" si="80"/>
        <v>10627.3</v>
      </c>
      <c r="N91" s="61"/>
      <c r="O91" s="116">
        <f t="shared" ref="O91:S91" si="81">ROUND(SUM(O86:O90),3)</f>
        <v>5472</v>
      </c>
      <c r="P91" s="116">
        <f t="shared" si="81"/>
        <v>4213.5</v>
      </c>
      <c r="Q91" s="116">
        <f t="shared" si="81"/>
        <v>1258.5</v>
      </c>
      <c r="R91" s="116">
        <f t="shared" si="81"/>
        <v>0</v>
      </c>
      <c r="S91" s="116">
        <f t="shared" si="81"/>
        <v>5472</v>
      </c>
      <c r="T91" s="116">
        <f t="shared" si="80"/>
        <v>0</v>
      </c>
      <c r="U91" s="116">
        <f t="shared" si="80"/>
        <v>0</v>
      </c>
      <c r="V91" s="139">
        <f t="shared" si="80"/>
        <v>0</v>
      </c>
      <c r="W91" s="91"/>
      <c r="X91" s="140">
        <f t="shared" ref="X91:AA91" si="82">ROUND(SUM(X86:X90),3)</f>
        <v>28.5</v>
      </c>
      <c r="Y91" s="116">
        <f t="shared" si="82"/>
        <v>13.75</v>
      </c>
      <c r="Z91" s="116">
        <f t="shared" si="82"/>
        <v>-1</v>
      </c>
      <c r="AA91" s="116">
        <f t="shared" si="82"/>
        <v>0</v>
      </c>
      <c r="AB91" s="66"/>
      <c r="AC91" s="116">
        <f t="shared" si="77"/>
        <v>13.75</v>
      </c>
      <c r="AD91" s="68"/>
    </row>
    <row r="92" spans="1:30" ht="16.5" customHeight="1" x14ac:dyDescent="0.25">
      <c r="A92" s="92"/>
      <c r="B92" s="104" t="s">
        <v>44</v>
      </c>
      <c r="C92" s="37" t="s">
        <v>104</v>
      </c>
      <c r="D92" s="70">
        <v>12.23</v>
      </c>
      <c r="E92" s="71">
        <v>1056.7</v>
      </c>
      <c r="F92" s="71">
        <f t="shared" ref="F92:F135" si="83">E92*D92</f>
        <v>12923.441000000001</v>
      </c>
      <c r="G92" s="105">
        <v>11999.5</v>
      </c>
      <c r="H92" s="105">
        <v>6654.4</v>
      </c>
      <c r="I92" s="105">
        <v>2115.6999999999998</v>
      </c>
      <c r="J92" s="73">
        <f t="shared" ref="J92:J97" si="84">H92+I92</f>
        <v>8770.0999999999985</v>
      </c>
      <c r="K92" s="73">
        <f>231.9+69</f>
        <v>300.89999999999998</v>
      </c>
      <c r="L92" s="73">
        <v>923.9</v>
      </c>
      <c r="M92" s="73">
        <f t="shared" ref="M92:M97" si="85">G92+L92</f>
        <v>12923.4</v>
      </c>
      <c r="N92" s="73">
        <f t="shared" ref="N92:N97" si="86">M92-F92</f>
        <v>-4.1000000001076842E-2</v>
      </c>
      <c r="O92" s="73">
        <v>6143.8</v>
      </c>
      <c r="P92" s="105">
        <v>4743.7</v>
      </c>
      <c r="Q92" s="105">
        <v>1400.1</v>
      </c>
      <c r="R92" s="105"/>
      <c r="S92" s="74">
        <f t="shared" ref="S92:S97" si="87">O92+R92</f>
        <v>6143.8</v>
      </c>
      <c r="T92" s="105"/>
      <c r="U92" s="105"/>
      <c r="V92" s="106">
        <f t="shared" ref="V92:V97" si="88">T92+U92</f>
        <v>0</v>
      </c>
      <c r="W92" s="77">
        <v>16</v>
      </c>
      <c r="X92" s="37">
        <v>24.5</v>
      </c>
      <c r="Y92" s="37">
        <v>14</v>
      </c>
      <c r="Z92" s="37">
        <v>1.5</v>
      </c>
      <c r="AA92" s="37"/>
      <c r="AB92" s="78">
        <f t="shared" ref="AB92:AB97" si="89">(Y92+AA92)-W92</f>
        <v>-2</v>
      </c>
      <c r="AC92" s="107">
        <f t="shared" si="77"/>
        <v>14</v>
      </c>
      <c r="AD92" s="79">
        <f t="shared" si="78"/>
        <v>-2</v>
      </c>
    </row>
    <row r="93" spans="1:30" ht="16.5" customHeight="1" x14ac:dyDescent="0.25">
      <c r="A93" s="92"/>
      <c r="B93" s="108"/>
      <c r="C93" s="52" t="s">
        <v>105</v>
      </c>
      <c r="D93" s="44">
        <v>1.0089999999999999</v>
      </c>
      <c r="E93" s="45">
        <v>2482.1</v>
      </c>
      <c r="F93" s="45">
        <f t="shared" si="83"/>
        <v>2504.4388999999996</v>
      </c>
      <c r="G93" s="82">
        <v>2279.1</v>
      </c>
      <c r="H93" s="82">
        <v>1374.1</v>
      </c>
      <c r="I93" s="82">
        <v>474.9</v>
      </c>
      <c r="J93" s="47">
        <f t="shared" si="84"/>
        <v>1849</v>
      </c>
      <c r="K93" s="47">
        <f t="shared" ref="K93:K97" si="90">-21.2-6.4</f>
        <v>-27.6</v>
      </c>
      <c r="L93" s="47">
        <f>114.9-28.4</f>
        <v>86.5</v>
      </c>
      <c r="M93" s="47">
        <f t="shared" si="85"/>
        <v>2365.6</v>
      </c>
      <c r="N93" s="47">
        <f t="shared" si="86"/>
        <v>-138.83889999999974</v>
      </c>
      <c r="O93" s="47">
        <v>1473.8</v>
      </c>
      <c r="P93" s="82">
        <v>1100</v>
      </c>
      <c r="Q93" s="82">
        <v>373.8</v>
      </c>
      <c r="R93" s="82"/>
      <c r="S93" s="48">
        <f t="shared" si="87"/>
        <v>1473.8</v>
      </c>
      <c r="T93" s="82"/>
      <c r="U93" s="82"/>
      <c r="V93" s="110">
        <f t="shared" si="88"/>
        <v>0</v>
      </c>
      <c r="W93" s="51">
        <v>4</v>
      </c>
      <c r="X93" s="52">
        <v>5.15</v>
      </c>
      <c r="Y93" s="52">
        <v>4</v>
      </c>
      <c r="Z93" s="52">
        <v>-0.15</v>
      </c>
      <c r="AA93" s="52"/>
      <c r="AB93" s="53">
        <f t="shared" si="89"/>
        <v>0</v>
      </c>
      <c r="AC93" s="87">
        <f t="shared" si="77"/>
        <v>4</v>
      </c>
      <c r="AD93" s="54">
        <f t="shared" si="78"/>
        <v>0</v>
      </c>
    </row>
    <row r="94" spans="1:30" ht="16.5" customHeight="1" x14ac:dyDescent="0.25">
      <c r="A94" s="92"/>
      <c r="B94" s="108"/>
      <c r="C94" s="52" t="s">
        <v>106</v>
      </c>
      <c r="D94" s="44">
        <v>1.226</v>
      </c>
      <c r="E94" s="45">
        <v>2379.8000000000002</v>
      </c>
      <c r="F94" s="45">
        <f t="shared" si="83"/>
        <v>2917.6348000000003</v>
      </c>
      <c r="G94" s="82">
        <v>2648.6</v>
      </c>
      <c r="H94" s="82">
        <v>1588.4</v>
      </c>
      <c r="I94" s="82">
        <v>496.2</v>
      </c>
      <c r="J94" s="47">
        <f t="shared" si="84"/>
        <v>2084.6</v>
      </c>
      <c r="K94" s="47">
        <f t="shared" si="90"/>
        <v>-27.6</v>
      </c>
      <c r="L94" s="47">
        <f>144.2-28.4</f>
        <v>115.79999999999998</v>
      </c>
      <c r="M94" s="47">
        <f t="shared" si="85"/>
        <v>2764.4</v>
      </c>
      <c r="N94" s="47">
        <f t="shared" si="86"/>
        <v>-153.23480000000018</v>
      </c>
      <c r="O94" s="47">
        <v>1441.8</v>
      </c>
      <c r="P94" s="82">
        <v>1113.2</v>
      </c>
      <c r="Q94" s="82">
        <v>328.6</v>
      </c>
      <c r="R94" s="82"/>
      <c r="S94" s="48">
        <f t="shared" si="87"/>
        <v>1441.8</v>
      </c>
      <c r="T94" s="82"/>
      <c r="U94" s="82"/>
      <c r="V94" s="110">
        <f t="shared" si="88"/>
        <v>0</v>
      </c>
      <c r="W94" s="51">
        <v>4</v>
      </c>
      <c r="X94" s="52">
        <v>6.65</v>
      </c>
      <c r="Y94" s="52">
        <v>4</v>
      </c>
      <c r="Z94" s="52">
        <v>-0.15</v>
      </c>
      <c r="AA94" s="52"/>
      <c r="AB94" s="53">
        <f t="shared" si="89"/>
        <v>0</v>
      </c>
      <c r="AC94" s="87">
        <f t="shared" si="77"/>
        <v>4</v>
      </c>
      <c r="AD94" s="54">
        <f t="shared" si="78"/>
        <v>0</v>
      </c>
    </row>
    <row r="95" spans="1:30" ht="16.5" customHeight="1" x14ac:dyDescent="0.25">
      <c r="A95" s="92"/>
      <c r="B95" s="108"/>
      <c r="C95" s="84" t="s">
        <v>107</v>
      </c>
      <c r="D95" s="44">
        <v>0.60399999999999998</v>
      </c>
      <c r="E95" s="45">
        <v>2488.1999999999998</v>
      </c>
      <c r="F95" s="45">
        <f t="shared" si="83"/>
        <v>1502.8727999999999</v>
      </c>
      <c r="G95" s="82">
        <v>1479</v>
      </c>
      <c r="H95" s="82">
        <v>944.1</v>
      </c>
      <c r="I95" s="82">
        <v>284.10000000000002</v>
      </c>
      <c r="J95" s="47">
        <f t="shared" si="84"/>
        <v>1228.2</v>
      </c>
      <c r="K95" s="47">
        <f t="shared" si="90"/>
        <v>-27.6</v>
      </c>
      <c r="L95" s="47">
        <f>10.9-28.4</f>
        <v>-17.5</v>
      </c>
      <c r="M95" s="47">
        <f t="shared" si="85"/>
        <v>1461.5</v>
      </c>
      <c r="N95" s="47">
        <f t="shared" si="86"/>
        <v>-41.37279999999987</v>
      </c>
      <c r="O95" s="47">
        <v>706</v>
      </c>
      <c r="P95" s="82">
        <v>542.20000000000005</v>
      </c>
      <c r="Q95" s="82">
        <v>163.80000000000001</v>
      </c>
      <c r="R95" s="82"/>
      <c r="S95" s="48">
        <f t="shared" si="87"/>
        <v>706</v>
      </c>
      <c r="T95" s="82"/>
      <c r="U95" s="82"/>
      <c r="V95" s="110">
        <f t="shared" si="88"/>
        <v>0</v>
      </c>
      <c r="W95" s="51">
        <v>3</v>
      </c>
      <c r="X95" s="52">
        <v>5.15</v>
      </c>
      <c r="Y95" s="52">
        <v>3</v>
      </c>
      <c r="Z95" s="52">
        <v>-0.15</v>
      </c>
      <c r="AA95" s="52"/>
      <c r="AB95" s="53">
        <f t="shared" si="89"/>
        <v>0</v>
      </c>
      <c r="AC95" s="87">
        <f t="shared" si="77"/>
        <v>3</v>
      </c>
      <c r="AD95" s="54">
        <f t="shared" si="78"/>
        <v>0</v>
      </c>
    </row>
    <row r="96" spans="1:30" ht="16.5" customHeight="1" x14ac:dyDescent="0.25">
      <c r="A96" s="92"/>
      <c r="B96" s="108"/>
      <c r="C96" s="52" t="s">
        <v>108</v>
      </c>
      <c r="D96" s="44">
        <v>1.6850000000000001</v>
      </c>
      <c r="E96" s="45">
        <v>1652.6</v>
      </c>
      <c r="F96" s="45">
        <f t="shared" si="83"/>
        <v>2784.6309999999999</v>
      </c>
      <c r="G96" s="82">
        <v>2587.3000000000002</v>
      </c>
      <c r="H96" s="82">
        <v>1650.4</v>
      </c>
      <c r="I96" s="82">
        <v>496</v>
      </c>
      <c r="J96" s="47">
        <f t="shared" si="84"/>
        <v>2146.4</v>
      </c>
      <c r="K96" s="47">
        <f t="shared" si="90"/>
        <v>-27.6</v>
      </c>
      <c r="L96" s="47">
        <f>125.9-28.4</f>
        <v>97.5</v>
      </c>
      <c r="M96" s="47">
        <f t="shared" si="85"/>
        <v>2684.8</v>
      </c>
      <c r="N96" s="47">
        <f t="shared" si="86"/>
        <v>-99.830999999999676</v>
      </c>
      <c r="O96" s="47">
        <v>1726.6</v>
      </c>
      <c r="P96" s="82">
        <v>1330.4</v>
      </c>
      <c r="Q96" s="82">
        <v>396.2</v>
      </c>
      <c r="R96" s="82"/>
      <c r="S96" s="48">
        <f t="shared" si="87"/>
        <v>1726.6</v>
      </c>
      <c r="T96" s="82"/>
      <c r="U96" s="82"/>
      <c r="V96" s="110">
        <f t="shared" si="88"/>
        <v>0</v>
      </c>
      <c r="W96" s="51">
        <v>5</v>
      </c>
      <c r="X96" s="52">
        <v>6.65</v>
      </c>
      <c r="Y96" s="52">
        <v>5</v>
      </c>
      <c r="Z96" s="52">
        <v>-0.15</v>
      </c>
      <c r="AA96" s="52"/>
      <c r="AB96" s="53">
        <f t="shared" si="89"/>
        <v>0</v>
      </c>
      <c r="AC96" s="87">
        <f t="shared" si="77"/>
        <v>5</v>
      </c>
      <c r="AD96" s="54">
        <f t="shared" si="78"/>
        <v>0</v>
      </c>
    </row>
    <row r="97" spans="1:30" ht="15.75" x14ac:dyDescent="0.25">
      <c r="A97" s="92"/>
      <c r="B97" s="108"/>
      <c r="C97" s="52" t="s">
        <v>109</v>
      </c>
      <c r="D97" s="44">
        <v>1.1910000000000001</v>
      </c>
      <c r="E97" s="45">
        <v>2012</v>
      </c>
      <c r="F97" s="45">
        <f t="shared" si="83"/>
        <v>2396.2919999999999</v>
      </c>
      <c r="G97" s="82">
        <v>1998.3</v>
      </c>
      <c r="H97" s="82">
        <v>1397.4</v>
      </c>
      <c r="I97" s="82">
        <v>416.3</v>
      </c>
      <c r="J97" s="47">
        <f t="shared" si="84"/>
        <v>1813.7</v>
      </c>
      <c r="K97" s="47">
        <f t="shared" si="90"/>
        <v>-27.6</v>
      </c>
      <c r="L97" s="47">
        <f>114.9-28.5</f>
        <v>86.4</v>
      </c>
      <c r="M97" s="47">
        <f t="shared" si="85"/>
        <v>2084.6999999999998</v>
      </c>
      <c r="N97" s="47">
        <f t="shared" si="86"/>
        <v>-311.5920000000001</v>
      </c>
      <c r="O97" s="47">
        <v>1177.0999999999999</v>
      </c>
      <c r="P97" s="82">
        <v>904.7</v>
      </c>
      <c r="Q97" s="82">
        <v>272.39999999999998</v>
      </c>
      <c r="R97" s="82"/>
      <c r="S97" s="48">
        <f t="shared" si="87"/>
        <v>1177.0999999999999</v>
      </c>
      <c r="T97" s="82"/>
      <c r="U97" s="82"/>
      <c r="V97" s="110">
        <f t="shared" si="88"/>
        <v>0</v>
      </c>
      <c r="W97" s="51">
        <v>4</v>
      </c>
      <c r="X97" s="52">
        <v>5.65</v>
      </c>
      <c r="Y97" s="52">
        <v>3</v>
      </c>
      <c r="Z97" s="52">
        <v>-0.15</v>
      </c>
      <c r="AA97" s="52"/>
      <c r="AB97" s="53">
        <f t="shared" si="89"/>
        <v>-1</v>
      </c>
      <c r="AC97" s="87">
        <f t="shared" si="77"/>
        <v>3</v>
      </c>
      <c r="AD97" s="54">
        <f t="shared" si="78"/>
        <v>-1</v>
      </c>
    </row>
    <row r="98" spans="1:30" ht="16.5" thickBot="1" x14ac:dyDescent="0.3">
      <c r="A98" s="92"/>
      <c r="B98" s="111"/>
      <c r="C98" s="66" t="s">
        <v>65</v>
      </c>
      <c r="D98" s="112">
        <f>ROUND(SUM(D92:D97),3)</f>
        <v>17.945</v>
      </c>
      <c r="E98" s="59"/>
      <c r="F98" s="59"/>
      <c r="G98" s="113">
        <f t="shared" ref="G98:M98" si="91">ROUND(SUM(G92:G97),3)</f>
        <v>22991.8</v>
      </c>
      <c r="H98" s="113">
        <f t="shared" si="91"/>
        <v>13608.8</v>
      </c>
      <c r="I98" s="113">
        <f t="shared" si="91"/>
        <v>4283.2</v>
      </c>
      <c r="J98" s="113">
        <f t="shared" si="91"/>
        <v>17892</v>
      </c>
      <c r="K98" s="113">
        <f t="shared" si="91"/>
        <v>162.9</v>
      </c>
      <c r="L98" s="113">
        <f t="shared" si="91"/>
        <v>1292.5999999999999</v>
      </c>
      <c r="M98" s="113">
        <f t="shared" si="91"/>
        <v>24284.400000000001</v>
      </c>
      <c r="N98" s="61"/>
      <c r="O98" s="113">
        <f t="shared" ref="O98:V98" si="92">ROUND(SUM(O92:O97),3)</f>
        <v>12669.1</v>
      </c>
      <c r="P98" s="113">
        <f t="shared" si="92"/>
        <v>9734.2000000000007</v>
      </c>
      <c r="Q98" s="113">
        <f t="shared" si="92"/>
        <v>2934.9</v>
      </c>
      <c r="R98" s="113">
        <f t="shared" si="92"/>
        <v>0</v>
      </c>
      <c r="S98" s="113">
        <f t="shared" si="92"/>
        <v>12669.1</v>
      </c>
      <c r="T98" s="113">
        <f t="shared" si="92"/>
        <v>0</v>
      </c>
      <c r="U98" s="113">
        <f t="shared" si="92"/>
        <v>0</v>
      </c>
      <c r="V98" s="114">
        <f t="shared" si="92"/>
        <v>0</v>
      </c>
      <c r="W98" s="115"/>
      <c r="X98" s="113">
        <f>ROUND(SUM(X92:X97),3)</f>
        <v>53.75</v>
      </c>
      <c r="Y98" s="113">
        <f>ROUND(SUM(Y92:Y97),3)</f>
        <v>33</v>
      </c>
      <c r="Z98" s="113">
        <f>ROUND(SUM(Z92:Z97),3)</f>
        <v>0.75</v>
      </c>
      <c r="AA98" s="113">
        <f>ROUND(SUM(AA92:AA97),3)</f>
        <v>0</v>
      </c>
      <c r="AB98" s="66"/>
      <c r="AC98" s="116">
        <f t="shared" si="77"/>
        <v>33</v>
      </c>
      <c r="AD98" s="68"/>
    </row>
    <row r="99" spans="1:30" ht="15.75" customHeight="1" x14ac:dyDescent="0.25">
      <c r="A99" s="92"/>
      <c r="B99" s="141" t="s">
        <v>110</v>
      </c>
      <c r="C99" s="117" t="s">
        <v>111</v>
      </c>
      <c r="D99" s="70">
        <v>1.55</v>
      </c>
      <c r="E99" s="71">
        <v>1698.4</v>
      </c>
      <c r="F99" s="71">
        <f t="shared" si="83"/>
        <v>2632.5200000000004</v>
      </c>
      <c r="G99" s="117">
        <v>2475.1999999999998</v>
      </c>
      <c r="H99" s="117">
        <v>1653.6</v>
      </c>
      <c r="I99" s="117">
        <v>507.4</v>
      </c>
      <c r="J99" s="73">
        <f t="shared" ref="J99:J103" si="93">H99+I99</f>
        <v>2161</v>
      </c>
      <c r="K99" s="73">
        <f>-28.7-8.7</f>
        <v>-37.4</v>
      </c>
      <c r="L99" s="73"/>
      <c r="M99" s="47">
        <f>G99+L99</f>
        <v>2475.1999999999998</v>
      </c>
      <c r="N99" s="73">
        <f>M99-F99</f>
        <v>-157.32000000000062</v>
      </c>
      <c r="O99" s="73">
        <v>1330.9</v>
      </c>
      <c r="P99" s="117">
        <v>1037.4000000000001</v>
      </c>
      <c r="Q99" s="117">
        <v>293.5</v>
      </c>
      <c r="R99" s="117">
        <f>-37.4</f>
        <v>-37.4</v>
      </c>
      <c r="S99" s="74">
        <f t="shared" ref="S99:S103" si="94">O99+R99</f>
        <v>1293.5</v>
      </c>
      <c r="T99" s="117"/>
      <c r="U99" s="117"/>
      <c r="V99" s="106">
        <f>T99+U99</f>
        <v>0</v>
      </c>
      <c r="W99" s="77">
        <v>4</v>
      </c>
      <c r="X99" s="37">
        <v>8</v>
      </c>
      <c r="Y99" s="37">
        <v>3</v>
      </c>
      <c r="Z99" s="37">
        <v>-0.2</v>
      </c>
      <c r="AA99" s="37"/>
      <c r="AB99" s="78">
        <f t="shared" ref="AB99:AB103" si="95">(Y99+AA99)-W99</f>
        <v>-1</v>
      </c>
      <c r="AC99" s="107">
        <f t="shared" si="77"/>
        <v>3</v>
      </c>
      <c r="AD99" s="79">
        <f t="shared" si="78"/>
        <v>-1</v>
      </c>
    </row>
    <row r="100" spans="1:30" ht="15.75" x14ac:dyDescent="0.25">
      <c r="A100" s="92"/>
      <c r="B100" s="142"/>
      <c r="C100" s="82" t="s">
        <v>112</v>
      </c>
      <c r="D100" s="44">
        <v>1.919</v>
      </c>
      <c r="E100" s="45">
        <v>1511.7</v>
      </c>
      <c r="F100" s="45">
        <f t="shared" si="83"/>
        <v>2900.9522999999999</v>
      </c>
      <c r="G100" s="82">
        <v>2876.2</v>
      </c>
      <c r="H100" s="82">
        <v>1658</v>
      </c>
      <c r="I100" s="82">
        <v>527</v>
      </c>
      <c r="J100" s="47">
        <f t="shared" si="93"/>
        <v>2185</v>
      </c>
      <c r="K100" s="47">
        <f>-47.4-14.3</f>
        <v>-61.7</v>
      </c>
      <c r="L100" s="47"/>
      <c r="M100" s="47">
        <f>G100+L100</f>
        <v>2876.2</v>
      </c>
      <c r="N100" s="47">
        <f>M100-F100</f>
        <v>-24.752300000000105</v>
      </c>
      <c r="O100" s="47">
        <v>1994.6</v>
      </c>
      <c r="P100" s="82">
        <v>1511.8</v>
      </c>
      <c r="Q100" s="82">
        <v>482.8</v>
      </c>
      <c r="R100" s="82">
        <f>-61.7</f>
        <v>-61.7</v>
      </c>
      <c r="S100" s="48">
        <f t="shared" si="94"/>
        <v>1932.8999999999999</v>
      </c>
      <c r="T100" s="82"/>
      <c r="U100" s="82"/>
      <c r="V100" s="110">
        <f>T100+U100</f>
        <v>0</v>
      </c>
      <c r="W100" s="51">
        <v>5</v>
      </c>
      <c r="X100" s="52">
        <v>6</v>
      </c>
      <c r="Y100" s="52">
        <v>5</v>
      </c>
      <c r="Z100" s="52">
        <v>-0.2</v>
      </c>
      <c r="AA100" s="52"/>
      <c r="AB100" s="53">
        <f t="shared" si="95"/>
        <v>0</v>
      </c>
      <c r="AC100" s="87">
        <f t="shared" si="77"/>
        <v>5</v>
      </c>
      <c r="AD100" s="54">
        <f t="shared" si="78"/>
        <v>0</v>
      </c>
    </row>
    <row r="101" spans="1:30" ht="15.75" customHeight="1" x14ac:dyDescent="0.25">
      <c r="A101" s="92"/>
      <c r="B101" s="142"/>
      <c r="C101" s="82" t="s">
        <v>73</v>
      </c>
      <c r="D101" s="44">
        <v>1.296</v>
      </c>
      <c r="E101" s="45">
        <v>1517.4</v>
      </c>
      <c r="F101" s="45">
        <f t="shared" si="83"/>
        <v>1966.5504000000001</v>
      </c>
      <c r="G101" s="82">
        <v>1858.8</v>
      </c>
      <c r="H101" s="82">
        <v>998.3</v>
      </c>
      <c r="I101" s="82">
        <v>295.2</v>
      </c>
      <c r="J101" s="47">
        <f t="shared" si="93"/>
        <v>1293.5</v>
      </c>
      <c r="K101" s="47">
        <f>-24.2-7.3</f>
        <v>-31.5</v>
      </c>
      <c r="L101" s="47"/>
      <c r="M101" s="47">
        <f>G101+L101</f>
        <v>1858.8</v>
      </c>
      <c r="N101" s="47">
        <f>M101-F101</f>
        <v>-107.75040000000013</v>
      </c>
      <c r="O101" s="47">
        <v>1144.8</v>
      </c>
      <c r="P101" s="82">
        <v>879.3</v>
      </c>
      <c r="Q101" s="82">
        <v>265.5</v>
      </c>
      <c r="R101" s="82">
        <f>-31.5</f>
        <v>-31.5</v>
      </c>
      <c r="S101" s="48">
        <f t="shared" si="94"/>
        <v>1113.3</v>
      </c>
      <c r="T101" s="82"/>
      <c r="U101" s="82"/>
      <c r="V101" s="110">
        <f>T101+U101</f>
        <v>0</v>
      </c>
      <c r="W101" s="51">
        <v>4</v>
      </c>
      <c r="X101" s="52">
        <v>5</v>
      </c>
      <c r="Y101" s="52">
        <v>3</v>
      </c>
      <c r="Z101" s="52">
        <v>-0.1</v>
      </c>
      <c r="AA101" s="52"/>
      <c r="AB101" s="53">
        <f t="shared" si="95"/>
        <v>-1</v>
      </c>
      <c r="AC101" s="87">
        <f t="shared" si="77"/>
        <v>3</v>
      </c>
      <c r="AD101" s="54">
        <f t="shared" si="78"/>
        <v>-1</v>
      </c>
    </row>
    <row r="102" spans="1:30" ht="15.75" x14ac:dyDescent="0.25">
      <c r="A102" s="92"/>
      <c r="B102" s="142"/>
      <c r="C102" s="82" t="s">
        <v>113</v>
      </c>
      <c r="D102" s="44">
        <v>5.23</v>
      </c>
      <c r="E102" s="45">
        <v>822.3</v>
      </c>
      <c r="F102" s="45">
        <f t="shared" si="83"/>
        <v>4300.6289999999999</v>
      </c>
      <c r="G102" s="82">
        <v>4220.8</v>
      </c>
      <c r="H102" s="82">
        <v>2519.4</v>
      </c>
      <c r="I102" s="82">
        <v>751.5</v>
      </c>
      <c r="J102" s="47">
        <f t="shared" si="93"/>
        <v>3270.9</v>
      </c>
      <c r="K102" s="47">
        <f>-90.2-27.2</f>
        <v>-117.4</v>
      </c>
      <c r="L102" s="47"/>
      <c r="M102" s="47">
        <f>G102+L102</f>
        <v>4220.8</v>
      </c>
      <c r="N102" s="47">
        <f>M102-F102</f>
        <v>-79.828999999999724</v>
      </c>
      <c r="O102" s="47">
        <v>2890.4</v>
      </c>
      <c r="P102" s="82">
        <v>2225.3000000000002</v>
      </c>
      <c r="Q102" s="82">
        <v>665.1</v>
      </c>
      <c r="R102" s="82">
        <f>-117.4</f>
        <v>-117.4</v>
      </c>
      <c r="S102" s="48">
        <f t="shared" si="94"/>
        <v>2773</v>
      </c>
      <c r="T102" s="82"/>
      <c r="U102" s="82"/>
      <c r="V102" s="110">
        <f>T102+U102</f>
        <v>0</v>
      </c>
      <c r="W102" s="51">
        <v>6</v>
      </c>
      <c r="X102" s="52">
        <v>8</v>
      </c>
      <c r="Y102" s="52">
        <v>6</v>
      </c>
      <c r="Z102" s="52">
        <v>-0.4</v>
      </c>
      <c r="AA102" s="52"/>
      <c r="AB102" s="53">
        <f t="shared" si="95"/>
        <v>0</v>
      </c>
      <c r="AC102" s="87">
        <f t="shared" si="77"/>
        <v>6</v>
      </c>
      <c r="AD102" s="54">
        <f t="shared" si="78"/>
        <v>0</v>
      </c>
    </row>
    <row r="103" spans="1:30" ht="15.75" x14ac:dyDescent="0.25">
      <c r="A103" s="92"/>
      <c r="B103" s="142"/>
      <c r="C103" s="82" t="s">
        <v>114</v>
      </c>
      <c r="D103" s="44">
        <v>1.67</v>
      </c>
      <c r="E103" s="45">
        <v>1902.1</v>
      </c>
      <c r="F103" s="45">
        <f t="shared" si="83"/>
        <v>3176.5069999999996</v>
      </c>
      <c r="G103" s="82">
        <v>3176</v>
      </c>
      <c r="H103" s="82">
        <v>1750.5</v>
      </c>
      <c r="I103" s="82">
        <v>510.4</v>
      </c>
      <c r="J103" s="47">
        <f t="shared" si="93"/>
        <v>2260.9</v>
      </c>
      <c r="K103" s="47">
        <f>-27.7-8.4</f>
        <v>-36.1</v>
      </c>
      <c r="L103" s="47"/>
      <c r="M103" s="47">
        <f>G103+L103</f>
        <v>3176</v>
      </c>
      <c r="N103" s="47">
        <f>M103-F103</f>
        <v>-0.5069999999996071</v>
      </c>
      <c r="O103" s="47">
        <v>1675.3</v>
      </c>
      <c r="P103" s="82">
        <v>1300</v>
      </c>
      <c r="Q103" s="82">
        <v>375.3</v>
      </c>
      <c r="R103" s="82">
        <f>-36.1</f>
        <v>-36.1</v>
      </c>
      <c r="S103" s="48">
        <f t="shared" si="94"/>
        <v>1639.2</v>
      </c>
      <c r="T103" s="82"/>
      <c r="U103" s="82"/>
      <c r="V103" s="110">
        <f>T103+U103</f>
        <v>0</v>
      </c>
      <c r="W103" s="51">
        <v>4</v>
      </c>
      <c r="X103" s="52">
        <v>7</v>
      </c>
      <c r="Y103" s="52">
        <v>4</v>
      </c>
      <c r="Z103" s="52">
        <v>-0.1</v>
      </c>
      <c r="AA103" s="52"/>
      <c r="AB103" s="53">
        <f t="shared" si="95"/>
        <v>0</v>
      </c>
      <c r="AC103" s="87">
        <f t="shared" si="77"/>
        <v>4</v>
      </c>
      <c r="AD103" s="54">
        <f t="shared" si="78"/>
        <v>0</v>
      </c>
    </row>
    <row r="104" spans="1:30" ht="16.5" thickBot="1" x14ac:dyDescent="0.3">
      <c r="A104" s="92"/>
      <c r="B104" s="143"/>
      <c r="C104" s="66" t="s">
        <v>65</v>
      </c>
      <c r="D104" s="138">
        <f>ROUND(SUM(D99:D103),3)</f>
        <v>11.664999999999999</v>
      </c>
      <c r="E104" s="59"/>
      <c r="F104" s="59"/>
      <c r="G104" s="116">
        <f t="shared" ref="G104:M104" si="96">ROUND(SUM(G99:G103),3)</f>
        <v>14607</v>
      </c>
      <c r="H104" s="116">
        <f t="shared" si="96"/>
        <v>8579.7999999999993</v>
      </c>
      <c r="I104" s="116">
        <f t="shared" si="96"/>
        <v>2591.5</v>
      </c>
      <c r="J104" s="116">
        <f t="shared" si="96"/>
        <v>11171.3</v>
      </c>
      <c r="K104" s="116">
        <f t="shared" si="96"/>
        <v>-284.10000000000002</v>
      </c>
      <c r="L104" s="116">
        <f t="shared" si="96"/>
        <v>0</v>
      </c>
      <c r="M104" s="116">
        <f t="shared" si="96"/>
        <v>14607</v>
      </c>
      <c r="N104" s="61"/>
      <c r="O104" s="116">
        <f t="shared" ref="O104:S104" si="97">ROUND(SUM(O99:O103),3)</f>
        <v>9036</v>
      </c>
      <c r="P104" s="116">
        <f t="shared" si="97"/>
        <v>6953.8</v>
      </c>
      <c r="Q104" s="116">
        <f t="shared" si="97"/>
        <v>2082.1999999999998</v>
      </c>
      <c r="R104" s="116">
        <f t="shared" si="97"/>
        <v>-284.10000000000002</v>
      </c>
      <c r="S104" s="116">
        <f t="shared" si="97"/>
        <v>8751.9</v>
      </c>
      <c r="T104" s="116">
        <f>ROUND(SUM(T99:T103),3)</f>
        <v>0</v>
      </c>
      <c r="U104" s="116">
        <f>ROUND(SUM(U99:U103),3)</f>
        <v>0</v>
      </c>
      <c r="V104" s="139">
        <f>ROUND(SUM(V99:V103),3)</f>
        <v>0</v>
      </c>
      <c r="W104" s="91"/>
      <c r="X104" s="116">
        <f t="shared" ref="X104:AA104" si="98">ROUND(SUM(X99:X103),3)</f>
        <v>34</v>
      </c>
      <c r="Y104" s="116">
        <f t="shared" si="98"/>
        <v>21</v>
      </c>
      <c r="Z104" s="116">
        <f t="shared" si="98"/>
        <v>-1</v>
      </c>
      <c r="AA104" s="116">
        <f t="shared" si="98"/>
        <v>0</v>
      </c>
      <c r="AB104" s="66"/>
      <c r="AC104" s="116">
        <f t="shared" si="77"/>
        <v>21</v>
      </c>
      <c r="AD104" s="68"/>
    </row>
    <row r="105" spans="1:30" ht="15.75" x14ac:dyDescent="0.25">
      <c r="A105" s="92"/>
      <c r="B105" s="104" t="s">
        <v>46</v>
      </c>
      <c r="C105" s="144" t="s">
        <v>115</v>
      </c>
      <c r="D105" s="70">
        <v>7.6840000000000002</v>
      </c>
      <c r="E105" s="71">
        <v>189.5</v>
      </c>
      <c r="F105" s="71">
        <f t="shared" si="83"/>
        <v>1456.1179999999999</v>
      </c>
      <c r="G105" s="105">
        <v>749</v>
      </c>
      <c r="H105" s="105"/>
      <c r="I105" s="105"/>
      <c r="J105" s="73"/>
      <c r="K105" s="73"/>
      <c r="L105" s="73">
        <v>26.1</v>
      </c>
      <c r="M105" s="73">
        <f>G105+L105</f>
        <v>775.1</v>
      </c>
      <c r="N105" s="73">
        <f>M105-F105</f>
        <v>-681.01799999999992</v>
      </c>
      <c r="O105" s="73"/>
      <c r="P105" s="105"/>
      <c r="Q105" s="105"/>
      <c r="R105" s="105"/>
      <c r="S105" s="72"/>
      <c r="T105" s="105"/>
      <c r="U105" s="105"/>
      <c r="V105" s="106">
        <f>T105+U105</f>
        <v>0</v>
      </c>
      <c r="W105" s="77">
        <v>1</v>
      </c>
      <c r="X105" s="37"/>
      <c r="Y105" s="37"/>
      <c r="Z105" s="37"/>
      <c r="AA105" s="37"/>
      <c r="AB105" s="78">
        <f t="shared" ref="AB105:AB109" si="99">(Y105+AA105)-W105</f>
        <v>-1</v>
      </c>
      <c r="AC105" s="107">
        <f t="shared" si="77"/>
        <v>0</v>
      </c>
      <c r="AD105" s="79">
        <f t="shared" si="78"/>
        <v>-1</v>
      </c>
    </row>
    <row r="106" spans="1:30" ht="15.75" x14ac:dyDescent="0.25">
      <c r="A106" s="92"/>
      <c r="B106" s="108"/>
      <c r="C106" s="127" t="s">
        <v>116</v>
      </c>
      <c r="D106" s="44">
        <v>2.9420000000000002</v>
      </c>
      <c r="E106" s="45">
        <v>1985.9</v>
      </c>
      <c r="F106" s="45">
        <f t="shared" si="83"/>
        <v>5842.5178000000005</v>
      </c>
      <c r="G106" s="82">
        <v>5719</v>
      </c>
      <c r="H106" s="82">
        <v>2764.5</v>
      </c>
      <c r="I106" s="82">
        <v>846.3</v>
      </c>
      <c r="J106" s="47">
        <v>3550.2</v>
      </c>
      <c r="K106" s="47"/>
      <c r="L106" s="47"/>
      <c r="M106" s="47">
        <f>G106+L106</f>
        <v>5719</v>
      </c>
      <c r="N106" s="47">
        <f>M106-F106</f>
        <v>-123.51780000000053</v>
      </c>
      <c r="O106" s="47">
        <v>2372.1999999999998</v>
      </c>
      <c r="P106" s="82">
        <v>1822</v>
      </c>
      <c r="Q106" s="82">
        <v>550.20000000000005</v>
      </c>
      <c r="R106" s="82"/>
      <c r="S106" s="48">
        <f t="shared" ref="S106:S109" si="100">O106+R106</f>
        <v>2372.1999999999998</v>
      </c>
      <c r="T106" s="82"/>
      <c r="U106" s="82"/>
      <c r="V106" s="110">
        <f>T106+U106</f>
        <v>0</v>
      </c>
      <c r="W106" s="51">
        <v>5</v>
      </c>
      <c r="X106" s="52">
        <v>9</v>
      </c>
      <c r="Y106" s="52">
        <v>5</v>
      </c>
      <c r="Z106" s="52"/>
      <c r="AA106" s="52"/>
      <c r="AB106" s="53">
        <f t="shared" si="99"/>
        <v>0</v>
      </c>
      <c r="AC106" s="87">
        <f t="shared" si="77"/>
        <v>5</v>
      </c>
      <c r="AD106" s="54">
        <f t="shared" si="78"/>
        <v>0</v>
      </c>
    </row>
    <row r="107" spans="1:30" ht="15.75" x14ac:dyDescent="0.25">
      <c r="A107" s="92"/>
      <c r="B107" s="108"/>
      <c r="C107" s="82" t="s">
        <v>117</v>
      </c>
      <c r="D107" s="44">
        <v>3.2690000000000001</v>
      </c>
      <c r="E107" s="45">
        <v>928.2</v>
      </c>
      <c r="F107" s="45">
        <f t="shared" si="83"/>
        <v>3034.2858000000001</v>
      </c>
      <c r="G107" s="82">
        <v>3004.7</v>
      </c>
      <c r="H107" s="82">
        <v>1833.8</v>
      </c>
      <c r="I107" s="82">
        <v>553.70000000000005</v>
      </c>
      <c r="J107" s="47">
        <f t="shared" ref="J107:J109" si="101">H107+I107</f>
        <v>2387.5</v>
      </c>
      <c r="K107" s="47"/>
      <c r="L107" s="47">
        <v>29.5</v>
      </c>
      <c r="M107" s="47">
        <f>G107+L107</f>
        <v>3034.2</v>
      </c>
      <c r="N107" s="47">
        <f>M107-F107</f>
        <v>-8.5800000000290311E-2</v>
      </c>
      <c r="O107" s="47">
        <v>1811</v>
      </c>
      <c r="P107" s="82">
        <v>1391</v>
      </c>
      <c r="Q107" s="82">
        <v>420</v>
      </c>
      <c r="R107" s="82"/>
      <c r="S107" s="48">
        <f t="shared" si="100"/>
        <v>1811</v>
      </c>
      <c r="T107" s="82"/>
      <c r="U107" s="82"/>
      <c r="V107" s="110">
        <f>T107+U107</f>
        <v>0</v>
      </c>
      <c r="W107" s="51">
        <v>5</v>
      </c>
      <c r="X107" s="52">
        <v>7</v>
      </c>
      <c r="Y107" s="52">
        <v>5</v>
      </c>
      <c r="Z107" s="52"/>
      <c r="AA107" s="52"/>
      <c r="AB107" s="53">
        <f t="shared" si="99"/>
        <v>0</v>
      </c>
      <c r="AC107" s="87">
        <f t="shared" si="77"/>
        <v>5</v>
      </c>
      <c r="AD107" s="54">
        <f t="shared" si="78"/>
        <v>0</v>
      </c>
    </row>
    <row r="108" spans="1:30" ht="15.75" x14ac:dyDescent="0.25">
      <c r="A108" s="92"/>
      <c r="B108" s="108"/>
      <c r="C108" s="145" t="s">
        <v>118</v>
      </c>
      <c r="D108" s="44">
        <v>1.409</v>
      </c>
      <c r="E108" s="45">
        <v>2961.4</v>
      </c>
      <c r="F108" s="45">
        <f t="shared" si="83"/>
        <v>4172.6126000000004</v>
      </c>
      <c r="G108" s="82">
        <v>3549.2</v>
      </c>
      <c r="H108" s="82">
        <v>2119.1</v>
      </c>
      <c r="I108" s="82">
        <v>646.79999999999995</v>
      </c>
      <c r="J108" s="47">
        <f t="shared" si="101"/>
        <v>2765.8999999999996</v>
      </c>
      <c r="K108" s="47"/>
      <c r="L108" s="47">
        <v>12.8</v>
      </c>
      <c r="M108" s="47">
        <f>G108+L108</f>
        <v>3562</v>
      </c>
      <c r="N108" s="47">
        <f>M108-F108</f>
        <v>-610.61260000000038</v>
      </c>
      <c r="O108" s="47">
        <v>2158.6999999999998</v>
      </c>
      <c r="P108" s="82">
        <v>1664.9</v>
      </c>
      <c r="Q108" s="82">
        <v>493.8</v>
      </c>
      <c r="R108" s="82"/>
      <c r="S108" s="48">
        <f t="shared" si="100"/>
        <v>2158.6999999999998</v>
      </c>
      <c r="T108" s="82"/>
      <c r="U108" s="82"/>
      <c r="V108" s="110">
        <f>T108+U108</f>
        <v>0</v>
      </c>
      <c r="W108" s="51">
        <v>5</v>
      </c>
      <c r="X108" s="52">
        <v>7.4</v>
      </c>
      <c r="Y108" s="52">
        <v>5</v>
      </c>
      <c r="Z108" s="52"/>
      <c r="AA108" s="52"/>
      <c r="AB108" s="53">
        <f t="shared" si="99"/>
        <v>0</v>
      </c>
      <c r="AC108" s="87">
        <f t="shared" si="77"/>
        <v>5</v>
      </c>
      <c r="AD108" s="54">
        <f t="shared" si="78"/>
        <v>0</v>
      </c>
    </row>
    <row r="109" spans="1:30" ht="15.75" x14ac:dyDescent="0.25">
      <c r="A109" s="92"/>
      <c r="B109" s="108"/>
      <c r="C109" s="127" t="s">
        <v>119</v>
      </c>
      <c r="D109" s="44">
        <v>2.99</v>
      </c>
      <c r="E109" s="45">
        <v>1651.9</v>
      </c>
      <c r="F109" s="45">
        <f t="shared" si="83"/>
        <v>4939.1810000000005</v>
      </c>
      <c r="G109" s="82">
        <v>4405.1000000000004</v>
      </c>
      <c r="H109" s="82">
        <v>2438.1</v>
      </c>
      <c r="I109" s="82">
        <v>618</v>
      </c>
      <c r="J109" s="47">
        <f t="shared" si="101"/>
        <v>3056.1</v>
      </c>
      <c r="K109" s="47"/>
      <c r="L109" s="47"/>
      <c r="M109" s="47">
        <f>G109+L109</f>
        <v>4405.1000000000004</v>
      </c>
      <c r="N109" s="47">
        <f>M109-F109</f>
        <v>-534.08100000000013</v>
      </c>
      <c r="O109" s="47">
        <v>2111.6999999999998</v>
      </c>
      <c r="P109" s="82">
        <v>1696</v>
      </c>
      <c r="Q109" s="82">
        <v>415.8</v>
      </c>
      <c r="R109" s="82"/>
      <c r="S109" s="48">
        <f t="shared" si="100"/>
        <v>2111.6999999999998</v>
      </c>
      <c r="T109" s="82"/>
      <c r="U109" s="82"/>
      <c r="V109" s="110">
        <f>T109+U109</f>
        <v>0</v>
      </c>
      <c r="W109" s="51">
        <v>5</v>
      </c>
      <c r="X109" s="52">
        <v>10</v>
      </c>
      <c r="Y109" s="52">
        <v>5</v>
      </c>
      <c r="Z109" s="52"/>
      <c r="AA109" s="52"/>
      <c r="AB109" s="53">
        <f t="shared" si="99"/>
        <v>0</v>
      </c>
      <c r="AC109" s="87">
        <f t="shared" si="77"/>
        <v>5</v>
      </c>
      <c r="AD109" s="54">
        <f t="shared" si="78"/>
        <v>0</v>
      </c>
    </row>
    <row r="110" spans="1:30" ht="16.5" thickBot="1" x14ac:dyDescent="0.3">
      <c r="A110" s="92"/>
      <c r="B110" s="111"/>
      <c r="C110" s="66" t="s">
        <v>65</v>
      </c>
      <c r="D110" s="138">
        <f>ROUND(SUM(D105:D109),3)</f>
        <v>18.294</v>
      </c>
      <c r="E110" s="59"/>
      <c r="F110" s="59"/>
      <c r="G110" s="116">
        <f>ROUND(SUM(G105:G109),3)</f>
        <v>17427</v>
      </c>
      <c r="H110" s="116">
        <f t="shared" ref="H110:M110" si="102">ROUND(SUM(H105:H109),3)</f>
        <v>9155.5</v>
      </c>
      <c r="I110" s="116">
        <f t="shared" si="102"/>
        <v>2664.8</v>
      </c>
      <c r="J110" s="116">
        <f t="shared" si="102"/>
        <v>11759.7</v>
      </c>
      <c r="K110" s="116">
        <f t="shared" si="102"/>
        <v>0</v>
      </c>
      <c r="L110" s="116">
        <f t="shared" si="102"/>
        <v>68.400000000000006</v>
      </c>
      <c r="M110" s="116">
        <f t="shared" si="102"/>
        <v>17495.400000000001</v>
      </c>
      <c r="N110" s="61"/>
      <c r="O110" s="116">
        <f t="shared" ref="O110:S110" si="103">ROUND(SUM(O105:O109),3)</f>
        <v>8453.6</v>
      </c>
      <c r="P110" s="116">
        <f t="shared" si="103"/>
        <v>6573.9</v>
      </c>
      <c r="Q110" s="116">
        <f t="shared" si="103"/>
        <v>1879.8</v>
      </c>
      <c r="R110" s="116">
        <f t="shared" si="103"/>
        <v>0</v>
      </c>
      <c r="S110" s="116">
        <f t="shared" si="103"/>
        <v>8453.6</v>
      </c>
      <c r="T110" s="116"/>
      <c r="U110" s="116">
        <f>ROUND(SUM(U105:U109),3)</f>
        <v>0</v>
      </c>
      <c r="V110" s="139">
        <f>ROUND(SUM(V105:V109),3)</f>
        <v>0</v>
      </c>
      <c r="W110" s="91"/>
      <c r="X110" s="116">
        <f t="shared" ref="X110:AA110" si="104">ROUND(SUM(X105:X109),3)</f>
        <v>33.4</v>
      </c>
      <c r="Y110" s="116">
        <f t="shared" si="104"/>
        <v>20</v>
      </c>
      <c r="Z110" s="116">
        <f t="shared" si="104"/>
        <v>0</v>
      </c>
      <c r="AA110" s="116">
        <f t="shared" si="104"/>
        <v>0</v>
      </c>
      <c r="AB110" s="66"/>
      <c r="AC110" s="116">
        <f t="shared" si="77"/>
        <v>20</v>
      </c>
      <c r="AD110" s="68"/>
    </row>
    <row r="111" spans="1:30" ht="15.75" x14ac:dyDescent="0.25">
      <c r="A111" s="92"/>
      <c r="B111" s="104" t="s">
        <v>47</v>
      </c>
      <c r="C111" s="37" t="s">
        <v>120</v>
      </c>
      <c r="D111" s="70">
        <v>2.6520000000000001</v>
      </c>
      <c r="E111" s="71">
        <v>0</v>
      </c>
      <c r="F111" s="71">
        <v>0</v>
      </c>
      <c r="G111" s="105"/>
      <c r="H111" s="105"/>
      <c r="I111" s="105"/>
      <c r="J111" s="73"/>
      <c r="K111" s="73"/>
      <c r="L111" s="73"/>
      <c r="M111" s="73">
        <v>0</v>
      </c>
      <c r="N111" s="73">
        <v>0</v>
      </c>
      <c r="O111" s="73"/>
      <c r="P111" s="105"/>
      <c r="Q111" s="105"/>
      <c r="R111" s="105"/>
      <c r="S111" s="72"/>
      <c r="T111" s="105"/>
      <c r="U111" s="105"/>
      <c r="V111" s="106">
        <f>T111+U111</f>
        <v>0</v>
      </c>
      <c r="W111" s="77">
        <v>0</v>
      </c>
      <c r="X111" s="37"/>
      <c r="Y111" s="37"/>
      <c r="Z111" s="37"/>
      <c r="AA111" s="37"/>
      <c r="AB111" s="78"/>
      <c r="AC111" s="107">
        <f t="shared" si="77"/>
        <v>0</v>
      </c>
      <c r="AD111" s="79">
        <f t="shared" si="78"/>
        <v>0</v>
      </c>
    </row>
    <row r="112" spans="1:30" ht="15.75" x14ac:dyDescent="0.25">
      <c r="A112" s="92"/>
      <c r="B112" s="108"/>
      <c r="C112" s="82" t="s">
        <v>121</v>
      </c>
      <c r="D112" s="44">
        <v>0.90500000000000003</v>
      </c>
      <c r="E112" s="45">
        <v>2260.1999999999998</v>
      </c>
      <c r="F112" s="45">
        <f t="shared" si="83"/>
        <v>2045.481</v>
      </c>
      <c r="G112" s="82">
        <v>1902.9</v>
      </c>
      <c r="H112" s="82">
        <v>1125.7</v>
      </c>
      <c r="I112" s="82">
        <v>334.8</v>
      </c>
      <c r="J112" s="47">
        <f>H112+I112</f>
        <v>1460.5</v>
      </c>
      <c r="K112" s="47">
        <f>17.5+5.3</f>
        <v>22.8</v>
      </c>
      <c r="L112" s="47">
        <v>23.8</v>
      </c>
      <c r="M112" s="47">
        <f>G112+L112</f>
        <v>1926.7</v>
      </c>
      <c r="N112" s="47">
        <f>M112-F112</f>
        <v>-118.78099999999995</v>
      </c>
      <c r="O112" s="47">
        <v>1152.4000000000001</v>
      </c>
      <c r="P112" s="82">
        <v>888.7</v>
      </c>
      <c r="Q112" s="82">
        <v>263.7</v>
      </c>
      <c r="R112" s="82"/>
      <c r="S112" s="48">
        <f t="shared" ref="S112:S115" si="105">O112+R112</f>
        <v>1152.4000000000001</v>
      </c>
      <c r="T112" s="82"/>
      <c r="U112" s="82"/>
      <c r="V112" s="110">
        <f>T112+U112</f>
        <v>0</v>
      </c>
      <c r="W112" s="51">
        <v>4</v>
      </c>
      <c r="X112" s="52">
        <v>5.75</v>
      </c>
      <c r="Y112" s="52">
        <v>4</v>
      </c>
      <c r="Z112" s="52">
        <v>0.1</v>
      </c>
      <c r="AA112" s="52"/>
      <c r="AB112" s="53">
        <f t="shared" ref="AB112:AB115" si="106">(Y112+AA112)-W112</f>
        <v>0</v>
      </c>
      <c r="AC112" s="87">
        <f t="shared" si="77"/>
        <v>4</v>
      </c>
      <c r="AD112" s="54">
        <f t="shared" si="78"/>
        <v>0</v>
      </c>
    </row>
    <row r="113" spans="1:30" ht="15.75" x14ac:dyDescent="0.25">
      <c r="A113" s="92"/>
      <c r="B113" s="108"/>
      <c r="C113" s="127" t="s">
        <v>122</v>
      </c>
      <c r="D113" s="44">
        <v>1.9510000000000001</v>
      </c>
      <c r="E113" s="45">
        <v>1731.1</v>
      </c>
      <c r="F113" s="45">
        <f t="shared" si="83"/>
        <v>3377.3761</v>
      </c>
      <c r="G113" s="82">
        <v>3170.5</v>
      </c>
      <c r="H113" s="82">
        <v>1935.1</v>
      </c>
      <c r="I113" s="82">
        <v>579.70000000000005</v>
      </c>
      <c r="J113" s="47">
        <f>H113+I113</f>
        <v>2514.8000000000002</v>
      </c>
      <c r="K113" s="47">
        <f>37.9+11.4</f>
        <v>49.3</v>
      </c>
      <c r="L113" s="47">
        <v>76.900000000000006</v>
      </c>
      <c r="M113" s="47">
        <f>G113+L113</f>
        <v>3247.4</v>
      </c>
      <c r="N113" s="47">
        <f>M113-F113</f>
        <v>-129.97609999999986</v>
      </c>
      <c r="O113" s="47">
        <v>1850.6</v>
      </c>
      <c r="P113" s="82">
        <v>1424.2</v>
      </c>
      <c r="Q113" s="82">
        <v>426.5</v>
      </c>
      <c r="R113" s="82"/>
      <c r="S113" s="48">
        <f t="shared" si="105"/>
        <v>1850.6</v>
      </c>
      <c r="T113" s="82"/>
      <c r="U113" s="82"/>
      <c r="V113" s="110">
        <f>T113+U113</f>
        <v>0</v>
      </c>
      <c r="W113" s="83">
        <v>7</v>
      </c>
      <c r="X113" s="52">
        <v>9.25</v>
      </c>
      <c r="Y113" s="52">
        <v>6</v>
      </c>
      <c r="Z113" s="52">
        <v>0.2</v>
      </c>
      <c r="AA113" s="52"/>
      <c r="AB113" s="53">
        <f t="shared" si="106"/>
        <v>-1</v>
      </c>
      <c r="AC113" s="87">
        <f t="shared" si="77"/>
        <v>6</v>
      </c>
      <c r="AD113" s="54">
        <f t="shared" si="78"/>
        <v>-1</v>
      </c>
    </row>
    <row r="114" spans="1:30" ht="15.75" x14ac:dyDescent="0.25">
      <c r="A114" s="92"/>
      <c r="B114" s="108"/>
      <c r="C114" s="82" t="s">
        <v>123</v>
      </c>
      <c r="D114" s="44">
        <v>0.92600000000000005</v>
      </c>
      <c r="E114" s="45">
        <v>2072.6</v>
      </c>
      <c r="F114" s="45">
        <f t="shared" si="83"/>
        <v>1919.2275999999999</v>
      </c>
      <c r="G114" s="82">
        <v>1882.7</v>
      </c>
      <c r="H114" s="82">
        <v>958.7</v>
      </c>
      <c r="I114" s="82">
        <v>307.8</v>
      </c>
      <c r="J114" s="47">
        <f>H114+I114</f>
        <v>1266.5</v>
      </c>
      <c r="K114" s="47">
        <f>18+5.4</f>
        <v>23.4</v>
      </c>
      <c r="L114" s="47">
        <v>36.5</v>
      </c>
      <c r="M114" s="47">
        <f>G114+L114</f>
        <v>1919.2</v>
      </c>
      <c r="N114" s="47">
        <f>M114-F114</f>
        <v>-2.7599999999893043E-2</v>
      </c>
      <c r="O114" s="47">
        <v>1101.8</v>
      </c>
      <c r="P114" s="82">
        <v>832.1</v>
      </c>
      <c r="Q114" s="82">
        <v>269.60000000000002</v>
      </c>
      <c r="R114" s="82"/>
      <c r="S114" s="48">
        <f t="shared" si="105"/>
        <v>1101.8</v>
      </c>
      <c r="T114" s="82"/>
      <c r="U114" s="82"/>
      <c r="V114" s="110">
        <f>T114+U114</f>
        <v>0</v>
      </c>
      <c r="W114" s="51">
        <v>4</v>
      </c>
      <c r="X114" s="52">
        <v>4.8499999999999996</v>
      </c>
      <c r="Y114" s="52">
        <v>4</v>
      </c>
      <c r="Z114" s="52">
        <v>0.1</v>
      </c>
      <c r="AA114" s="52"/>
      <c r="AB114" s="53">
        <f t="shared" si="106"/>
        <v>0</v>
      </c>
      <c r="AC114" s="87">
        <f t="shared" si="77"/>
        <v>4</v>
      </c>
      <c r="AD114" s="54">
        <f t="shared" si="78"/>
        <v>0</v>
      </c>
    </row>
    <row r="115" spans="1:30" ht="15.75" x14ac:dyDescent="0.25">
      <c r="A115" s="92"/>
      <c r="B115" s="108"/>
      <c r="C115" s="82" t="s">
        <v>124</v>
      </c>
      <c r="D115" s="44">
        <v>1.542</v>
      </c>
      <c r="E115" s="45">
        <v>1395.9</v>
      </c>
      <c r="F115" s="45">
        <f t="shared" si="83"/>
        <v>2152.4778000000001</v>
      </c>
      <c r="G115" s="82">
        <v>1988.4</v>
      </c>
      <c r="H115" s="82">
        <v>1215.0999999999999</v>
      </c>
      <c r="I115" s="82">
        <v>364.9</v>
      </c>
      <c r="J115" s="47">
        <f>H115+I115</f>
        <v>1580</v>
      </c>
      <c r="K115" s="47">
        <f>29.6+8.9</f>
        <v>38.5</v>
      </c>
      <c r="L115" s="47">
        <v>60.8</v>
      </c>
      <c r="M115" s="47">
        <f>G115+L115</f>
        <v>2049.2000000000003</v>
      </c>
      <c r="N115" s="47">
        <f>M115-F115</f>
        <v>-103.27779999999984</v>
      </c>
      <c r="O115" s="47">
        <v>1349.4</v>
      </c>
      <c r="P115" s="82">
        <v>1038</v>
      </c>
      <c r="Q115" s="82">
        <v>311.39999999999998</v>
      </c>
      <c r="R115" s="82"/>
      <c r="S115" s="48">
        <f t="shared" si="105"/>
        <v>1349.4</v>
      </c>
      <c r="T115" s="82"/>
      <c r="U115" s="82"/>
      <c r="V115" s="110">
        <f>T115+U115</f>
        <v>0</v>
      </c>
      <c r="W115" s="51">
        <v>4</v>
      </c>
      <c r="X115" s="52">
        <v>5.25</v>
      </c>
      <c r="Y115" s="52">
        <v>4</v>
      </c>
      <c r="Z115" s="52">
        <v>0.1</v>
      </c>
      <c r="AA115" s="52"/>
      <c r="AB115" s="53">
        <f t="shared" si="106"/>
        <v>0</v>
      </c>
      <c r="AC115" s="87">
        <f t="shared" si="77"/>
        <v>4</v>
      </c>
      <c r="AD115" s="54">
        <f t="shared" si="78"/>
        <v>0</v>
      </c>
    </row>
    <row r="116" spans="1:30" ht="16.5" thickBot="1" x14ac:dyDescent="0.3">
      <c r="A116" s="92"/>
      <c r="B116" s="111"/>
      <c r="C116" s="66" t="s">
        <v>65</v>
      </c>
      <c r="D116" s="138">
        <f t="shared" ref="D116" si="107">ROUND(SUM(D111:D115),3)</f>
        <v>7.976</v>
      </c>
      <c r="E116" s="59"/>
      <c r="F116" s="59"/>
      <c r="G116" s="116">
        <f t="shared" ref="G116:V116" si="108">ROUND(SUM(G111:G115),3)</f>
        <v>8944.5</v>
      </c>
      <c r="H116" s="116">
        <f t="shared" si="108"/>
        <v>5234.6000000000004</v>
      </c>
      <c r="I116" s="116">
        <f t="shared" si="108"/>
        <v>1587.2</v>
      </c>
      <c r="J116" s="116">
        <f t="shared" si="108"/>
        <v>6821.8</v>
      </c>
      <c r="K116" s="116">
        <f t="shared" si="108"/>
        <v>134</v>
      </c>
      <c r="L116" s="116">
        <f t="shared" si="108"/>
        <v>198</v>
      </c>
      <c r="M116" s="116">
        <f t="shared" si="108"/>
        <v>9142.5</v>
      </c>
      <c r="N116" s="61"/>
      <c r="O116" s="116">
        <f t="shared" ref="O116:Q116" si="109">ROUND(SUM(O111:O115),3)</f>
        <v>5454.2</v>
      </c>
      <c r="P116" s="116">
        <f t="shared" si="109"/>
        <v>4183</v>
      </c>
      <c r="Q116" s="116">
        <f t="shared" si="109"/>
        <v>1271.2</v>
      </c>
      <c r="R116" s="116"/>
      <c r="S116" s="116"/>
      <c r="T116" s="116">
        <f t="shared" si="108"/>
        <v>0</v>
      </c>
      <c r="U116" s="116">
        <f t="shared" si="108"/>
        <v>0</v>
      </c>
      <c r="V116" s="139">
        <f t="shared" si="108"/>
        <v>0</v>
      </c>
      <c r="W116" s="91"/>
      <c r="X116" s="116">
        <f t="shared" ref="X116:Z116" si="110">ROUND(SUM(X111:X115),3)</f>
        <v>25.1</v>
      </c>
      <c r="Y116" s="116">
        <f t="shared" si="110"/>
        <v>18</v>
      </c>
      <c r="Z116" s="116">
        <f t="shared" si="110"/>
        <v>0.5</v>
      </c>
      <c r="AA116" s="116"/>
      <c r="AB116" s="66"/>
      <c r="AC116" s="116">
        <f t="shared" si="77"/>
        <v>18</v>
      </c>
      <c r="AD116" s="68"/>
    </row>
    <row r="117" spans="1:30" ht="16.5" thickBot="1" x14ac:dyDescent="0.3">
      <c r="A117" s="92"/>
      <c r="B117" s="104" t="s">
        <v>48</v>
      </c>
      <c r="C117" s="37" t="s">
        <v>125</v>
      </c>
      <c r="D117" s="70">
        <v>4.7990000000000004</v>
      </c>
      <c r="E117" s="71">
        <v>281.2</v>
      </c>
      <c r="F117" s="71">
        <f t="shared" si="83"/>
        <v>1349.4788000000001</v>
      </c>
      <c r="G117" s="146">
        <v>1321.9</v>
      </c>
      <c r="H117" s="105">
        <v>808.5</v>
      </c>
      <c r="I117" s="105">
        <v>253.1</v>
      </c>
      <c r="J117" s="73">
        <f t="shared" ref="J117:J120" si="111">H117+I117</f>
        <v>1061.5999999999999</v>
      </c>
      <c r="K117" s="73"/>
      <c r="L117" s="73"/>
      <c r="M117" s="73">
        <f>G117+L117</f>
        <v>1321.9</v>
      </c>
      <c r="N117" s="73">
        <f>M117-F117</f>
        <v>-27.578800000000001</v>
      </c>
      <c r="O117" s="73">
        <v>650</v>
      </c>
      <c r="P117" s="105">
        <v>499.2</v>
      </c>
      <c r="Q117" s="105">
        <v>150.80000000000001</v>
      </c>
      <c r="R117" s="105"/>
      <c r="S117" s="74">
        <f t="shared" ref="S117:S120" si="112">O117+R117</f>
        <v>650</v>
      </c>
      <c r="T117" s="105"/>
      <c r="U117" s="105"/>
      <c r="V117" s="106">
        <f>T117+U117</f>
        <v>0</v>
      </c>
      <c r="W117" s="77">
        <v>1</v>
      </c>
      <c r="X117" s="37">
        <v>2.5</v>
      </c>
      <c r="Y117" s="37">
        <v>1</v>
      </c>
      <c r="Z117" s="37"/>
      <c r="AA117" s="37"/>
      <c r="AB117" s="78">
        <f t="shared" ref="AB117:AB120" si="113">(Y117+AA117)-W117</f>
        <v>0</v>
      </c>
      <c r="AC117" s="107">
        <f t="shared" si="77"/>
        <v>1</v>
      </c>
      <c r="AD117" s="79">
        <f t="shared" si="78"/>
        <v>0</v>
      </c>
    </row>
    <row r="118" spans="1:30" ht="15.75" x14ac:dyDescent="0.25">
      <c r="A118" s="92"/>
      <c r="B118" s="108"/>
      <c r="C118" s="127" t="s">
        <v>126</v>
      </c>
      <c r="D118" s="44">
        <v>1.8029999999999999</v>
      </c>
      <c r="E118" s="45">
        <v>1763.3</v>
      </c>
      <c r="F118" s="45">
        <f t="shared" si="83"/>
        <v>3179.2298999999998</v>
      </c>
      <c r="G118" s="147">
        <v>3016.8</v>
      </c>
      <c r="H118" s="82">
        <v>2027.1</v>
      </c>
      <c r="I118" s="82">
        <v>606.1</v>
      </c>
      <c r="J118" s="47">
        <f t="shared" si="111"/>
        <v>2633.2</v>
      </c>
      <c r="K118" s="47"/>
      <c r="L118" s="47"/>
      <c r="M118" s="73">
        <f>G118+L118</f>
        <v>3016.8</v>
      </c>
      <c r="N118" s="47">
        <f>M118-F118</f>
        <v>-162.42989999999963</v>
      </c>
      <c r="O118" s="47">
        <v>2055.4</v>
      </c>
      <c r="P118" s="82">
        <v>1582.4</v>
      </c>
      <c r="Q118" s="82">
        <v>473</v>
      </c>
      <c r="R118" s="82"/>
      <c r="S118" s="48">
        <f t="shared" si="112"/>
        <v>2055.4</v>
      </c>
      <c r="T118" s="82"/>
      <c r="U118" s="82"/>
      <c r="V118" s="110">
        <f>T118+U118</f>
        <v>0</v>
      </c>
      <c r="W118" s="83">
        <v>5</v>
      </c>
      <c r="X118" s="52">
        <v>6.5</v>
      </c>
      <c r="Y118" s="52">
        <v>5</v>
      </c>
      <c r="Z118" s="52"/>
      <c r="AA118" s="52"/>
      <c r="AB118" s="53">
        <f t="shared" si="113"/>
        <v>0</v>
      </c>
      <c r="AC118" s="87">
        <f t="shared" si="77"/>
        <v>5</v>
      </c>
      <c r="AD118" s="54">
        <f t="shared" si="78"/>
        <v>0</v>
      </c>
    </row>
    <row r="119" spans="1:30" ht="15.75" x14ac:dyDescent="0.25">
      <c r="A119" s="92"/>
      <c r="B119" s="108"/>
      <c r="C119" s="127" t="s">
        <v>127</v>
      </c>
      <c r="D119" s="44">
        <v>1.5029999999999999</v>
      </c>
      <c r="E119" s="45">
        <v>2045.3</v>
      </c>
      <c r="F119" s="45">
        <f t="shared" si="83"/>
        <v>3074.0858999999996</v>
      </c>
      <c r="G119" s="148">
        <v>3052.9</v>
      </c>
      <c r="H119" s="149">
        <v>2026.8</v>
      </c>
      <c r="I119" s="149">
        <v>631.29999999999995</v>
      </c>
      <c r="J119" s="47">
        <f t="shared" si="111"/>
        <v>2658.1</v>
      </c>
      <c r="K119" s="47"/>
      <c r="L119" s="47"/>
      <c r="M119" s="47">
        <f>G119+L119</f>
        <v>3052.9</v>
      </c>
      <c r="N119" s="47">
        <f>M119-F119</f>
        <v>-21.185899999999492</v>
      </c>
      <c r="O119" s="47">
        <v>2493</v>
      </c>
      <c r="P119" s="149">
        <v>1899.5</v>
      </c>
      <c r="Q119" s="149">
        <v>593.5</v>
      </c>
      <c r="R119" s="149"/>
      <c r="S119" s="48">
        <f t="shared" si="112"/>
        <v>2493</v>
      </c>
      <c r="T119" s="149"/>
      <c r="U119" s="149"/>
      <c r="V119" s="110">
        <f>T119+U119</f>
        <v>0</v>
      </c>
      <c r="W119" s="51">
        <v>7</v>
      </c>
      <c r="X119" s="52">
        <v>8.5</v>
      </c>
      <c r="Y119" s="52">
        <v>7</v>
      </c>
      <c r="Z119" s="52"/>
      <c r="AA119" s="52"/>
      <c r="AB119" s="53">
        <f t="shared" si="113"/>
        <v>0</v>
      </c>
      <c r="AC119" s="87">
        <f t="shared" si="77"/>
        <v>7</v>
      </c>
      <c r="AD119" s="54">
        <f t="shared" si="78"/>
        <v>0</v>
      </c>
    </row>
    <row r="120" spans="1:30" ht="15.75" x14ac:dyDescent="0.25">
      <c r="A120" s="92">
        <v>27</v>
      </c>
      <c r="B120" s="108"/>
      <c r="C120" s="127" t="s">
        <v>128</v>
      </c>
      <c r="D120" s="44">
        <v>1.1970000000000001</v>
      </c>
      <c r="E120" s="45">
        <v>2725.7</v>
      </c>
      <c r="F120" s="45">
        <f t="shared" si="83"/>
        <v>3262.6628999999998</v>
      </c>
      <c r="G120" s="147">
        <v>2950</v>
      </c>
      <c r="H120" s="82">
        <v>2194.3000000000002</v>
      </c>
      <c r="I120" s="82">
        <v>603.4</v>
      </c>
      <c r="J120" s="47">
        <f t="shared" si="111"/>
        <v>2797.7000000000003</v>
      </c>
      <c r="K120" s="47"/>
      <c r="L120" s="47"/>
      <c r="M120" s="47">
        <f>G120+L120</f>
        <v>2950</v>
      </c>
      <c r="N120" s="47">
        <f>M120-F120</f>
        <v>-312.66289999999981</v>
      </c>
      <c r="O120" s="47">
        <v>2208.6999999999998</v>
      </c>
      <c r="P120" s="82">
        <v>1739.9</v>
      </c>
      <c r="Q120" s="82">
        <v>468.8</v>
      </c>
      <c r="R120" s="82"/>
      <c r="S120" s="48">
        <f t="shared" si="112"/>
        <v>2208.6999999999998</v>
      </c>
      <c r="T120" s="82"/>
      <c r="U120" s="82"/>
      <c r="V120" s="110">
        <f>T120+U120</f>
        <v>0</v>
      </c>
      <c r="W120" s="83">
        <v>9</v>
      </c>
      <c r="X120" s="52">
        <v>8.5</v>
      </c>
      <c r="Y120" s="52">
        <v>6</v>
      </c>
      <c r="Z120" s="52"/>
      <c r="AA120" s="52"/>
      <c r="AB120" s="53">
        <f t="shared" si="113"/>
        <v>-3</v>
      </c>
      <c r="AC120" s="87">
        <f t="shared" si="77"/>
        <v>6</v>
      </c>
      <c r="AD120" s="54">
        <f t="shared" si="78"/>
        <v>-3</v>
      </c>
    </row>
    <row r="121" spans="1:30" ht="16.5" thickBot="1" x14ac:dyDescent="0.3">
      <c r="A121" s="92"/>
      <c r="B121" s="111"/>
      <c r="C121" s="66" t="s">
        <v>65</v>
      </c>
      <c r="D121" s="112">
        <f>ROUND(SUM(D117:D120),3)</f>
        <v>9.3019999999999996</v>
      </c>
      <c r="E121" s="59"/>
      <c r="F121" s="59"/>
      <c r="G121" s="113">
        <f t="shared" ref="G121:M121" si="114">ROUND(SUM(G117:G120),3)</f>
        <v>10341.6</v>
      </c>
      <c r="H121" s="113">
        <f t="shared" si="114"/>
        <v>7056.7</v>
      </c>
      <c r="I121" s="113">
        <f t="shared" si="114"/>
        <v>2093.9</v>
      </c>
      <c r="J121" s="113">
        <f t="shared" si="114"/>
        <v>9150.6</v>
      </c>
      <c r="K121" s="113"/>
      <c r="L121" s="113">
        <f t="shared" si="114"/>
        <v>0</v>
      </c>
      <c r="M121" s="113">
        <f t="shared" si="114"/>
        <v>10341.6</v>
      </c>
      <c r="N121" s="61"/>
      <c r="O121" s="113">
        <f t="shared" ref="O121:S121" si="115">ROUND(SUM(O117:O120),3)</f>
        <v>7407.1</v>
      </c>
      <c r="P121" s="113">
        <f t="shared" si="115"/>
        <v>5721</v>
      </c>
      <c r="Q121" s="113">
        <f t="shared" si="115"/>
        <v>1686.1</v>
      </c>
      <c r="R121" s="113">
        <f t="shared" si="115"/>
        <v>0</v>
      </c>
      <c r="S121" s="113">
        <f t="shared" si="115"/>
        <v>7407.1</v>
      </c>
      <c r="T121" s="113">
        <f>ROUND(SUM(T117:T120),3)</f>
        <v>0</v>
      </c>
      <c r="U121" s="113">
        <f>ROUND(SUM(U117:U120),3)</f>
        <v>0</v>
      </c>
      <c r="V121" s="114">
        <f>ROUND(SUM(V117:V120),3)</f>
        <v>0</v>
      </c>
      <c r="W121" s="115"/>
      <c r="X121" s="113">
        <f t="shared" ref="X121:AA121" si="116">ROUND(SUM(X117:X120),3)</f>
        <v>26</v>
      </c>
      <c r="Y121" s="113">
        <f t="shared" si="116"/>
        <v>19</v>
      </c>
      <c r="Z121" s="113">
        <f t="shared" si="116"/>
        <v>0</v>
      </c>
      <c r="AA121" s="113">
        <f t="shared" si="116"/>
        <v>0</v>
      </c>
      <c r="AB121" s="66"/>
      <c r="AC121" s="116">
        <f t="shared" si="77"/>
        <v>19</v>
      </c>
      <c r="AD121" s="68"/>
    </row>
    <row r="122" spans="1:30" ht="15.75" x14ac:dyDescent="0.25">
      <c r="A122" s="92"/>
      <c r="B122" s="104" t="s">
        <v>49</v>
      </c>
      <c r="C122" s="37" t="s">
        <v>129</v>
      </c>
      <c r="D122" s="70">
        <v>3.27</v>
      </c>
      <c r="E122" s="71">
        <v>289.60000000000002</v>
      </c>
      <c r="F122" s="71">
        <f t="shared" si="83"/>
        <v>946.99200000000008</v>
      </c>
      <c r="G122" s="117">
        <v>853.2</v>
      </c>
      <c r="H122" s="117">
        <v>484.8</v>
      </c>
      <c r="I122" s="117">
        <v>144.9</v>
      </c>
      <c r="J122" s="73">
        <f>H122+I122</f>
        <v>629.70000000000005</v>
      </c>
      <c r="K122" s="73"/>
      <c r="L122" s="73">
        <v>0</v>
      </c>
      <c r="M122" s="73">
        <f>G122+L122</f>
        <v>853.2</v>
      </c>
      <c r="N122" s="73">
        <f>M122-F122</f>
        <v>-93.79200000000003</v>
      </c>
      <c r="O122" s="73">
        <v>629.79999999999995</v>
      </c>
      <c r="P122" s="117">
        <v>484.8</v>
      </c>
      <c r="Q122" s="117">
        <v>144.9</v>
      </c>
      <c r="R122" s="105"/>
      <c r="S122" s="74">
        <f t="shared" ref="S122:S124" si="117">O122+R122</f>
        <v>629.79999999999995</v>
      </c>
      <c r="T122" s="105"/>
      <c r="U122" s="105"/>
      <c r="V122" s="106">
        <f>T122+U122</f>
        <v>0</v>
      </c>
      <c r="W122" s="77">
        <v>1</v>
      </c>
      <c r="X122" s="37">
        <v>1</v>
      </c>
      <c r="Y122" s="37">
        <v>1</v>
      </c>
      <c r="Z122" s="37"/>
      <c r="AA122" s="37"/>
      <c r="AB122" s="78">
        <f t="shared" ref="AB122:AB124" si="118">(Y122+AA122)-W122</f>
        <v>0</v>
      </c>
      <c r="AC122" s="107">
        <f t="shared" si="77"/>
        <v>1</v>
      </c>
      <c r="AD122" s="79">
        <f t="shared" si="78"/>
        <v>0</v>
      </c>
    </row>
    <row r="123" spans="1:30" ht="15.75" x14ac:dyDescent="0.25">
      <c r="A123" s="92"/>
      <c r="B123" s="108"/>
      <c r="C123" s="82" t="s">
        <v>130</v>
      </c>
      <c r="D123" s="44">
        <v>0.54400000000000004</v>
      </c>
      <c r="E123" s="45">
        <v>2253.5</v>
      </c>
      <c r="F123" s="45">
        <f t="shared" si="83"/>
        <v>1225.904</v>
      </c>
      <c r="G123" s="82">
        <v>1037.5</v>
      </c>
      <c r="H123" s="82">
        <v>635.70000000000005</v>
      </c>
      <c r="I123" s="82">
        <v>190.7</v>
      </c>
      <c r="J123" s="47">
        <v>471.5</v>
      </c>
      <c r="K123" s="47">
        <f>26.6+8</f>
        <v>34.6</v>
      </c>
      <c r="L123" s="47">
        <v>0</v>
      </c>
      <c r="M123" s="47">
        <f>G123+L123</f>
        <v>1037.5</v>
      </c>
      <c r="N123" s="47">
        <f>M123-F123</f>
        <v>-188.404</v>
      </c>
      <c r="O123" s="47">
        <v>471.5</v>
      </c>
      <c r="P123" s="82">
        <v>362.2</v>
      </c>
      <c r="Q123" s="82">
        <v>109.4</v>
      </c>
      <c r="R123" s="82">
        <v>34.6</v>
      </c>
      <c r="S123" s="48">
        <f t="shared" si="117"/>
        <v>506.1</v>
      </c>
      <c r="T123" s="82"/>
      <c r="U123" s="82"/>
      <c r="V123" s="110">
        <f>T123+U123</f>
        <v>0</v>
      </c>
      <c r="W123" s="51">
        <v>3</v>
      </c>
      <c r="X123" s="52">
        <v>4</v>
      </c>
      <c r="Y123" s="52">
        <v>3</v>
      </c>
      <c r="Z123" s="52">
        <v>1</v>
      </c>
      <c r="AA123" s="52"/>
      <c r="AB123" s="53">
        <f t="shared" si="118"/>
        <v>0</v>
      </c>
      <c r="AC123" s="87">
        <f t="shared" si="77"/>
        <v>3</v>
      </c>
      <c r="AD123" s="54">
        <f t="shared" si="78"/>
        <v>0</v>
      </c>
    </row>
    <row r="124" spans="1:30" ht="15.75" x14ac:dyDescent="0.25">
      <c r="A124" s="92">
        <v>34</v>
      </c>
      <c r="B124" s="108"/>
      <c r="C124" s="127" t="s">
        <v>131</v>
      </c>
      <c r="D124" s="44">
        <v>1.835</v>
      </c>
      <c r="E124" s="45">
        <v>2955.2</v>
      </c>
      <c r="F124" s="45">
        <f t="shared" si="83"/>
        <v>5422.7919999999995</v>
      </c>
      <c r="G124" s="82">
        <v>4968.1000000000004</v>
      </c>
      <c r="H124" s="82">
        <v>2937.9</v>
      </c>
      <c r="I124" s="82">
        <v>923.4</v>
      </c>
      <c r="J124" s="47">
        <f>H124+I124</f>
        <v>3861.3</v>
      </c>
      <c r="K124" s="47"/>
      <c r="L124" s="47">
        <v>0</v>
      </c>
      <c r="M124" s="47">
        <f>G124+L124</f>
        <v>4968.1000000000004</v>
      </c>
      <c r="N124" s="47">
        <f>M124-F124</f>
        <v>-454.6919999999991</v>
      </c>
      <c r="O124" s="47">
        <v>2448.6</v>
      </c>
      <c r="P124" s="82">
        <v>1883.1</v>
      </c>
      <c r="Q124" s="82">
        <v>565.5</v>
      </c>
      <c r="R124" s="82"/>
      <c r="S124" s="48">
        <f t="shared" si="117"/>
        <v>2448.6</v>
      </c>
      <c r="T124" s="82"/>
      <c r="U124" s="82"/>
      <c r="V124" s="110">
        <f>T124+U124</f>
        <v>0</v>
      </c>
      <c r="W124" s="51">
        <v>7</v>
      </c>
      <c r="X124" s="52">
        <v>12.5</v>
      </c>
      <c r="Y124" s="52">
        <v>7</v>
      </c>
      <c r="Z124" s="52"/>
      <c r="AA124" s="52"/>
      <c r="AB124" s="53">
        <f t="shared" si="118"/>
        <v>0</v>
      </c>
      <c r="AC124" s="87">
        <f t="shared" si="77"/>
        <v>7</v>
      </c>
      <c r="AD124" s="54">
        <f t="shared" si="78"/>
        <v>0</v>
      </c>
    </row>
    <row r="125" spans="1:30" ht="16.5" thickBot="1" x14ac:dyDescent="0.3">
      <c r="A125" s="92"/>
      <c r="B125" s="111"/>
      <c r="C125" s="66" t="s">
        <v>65</v>
      </c>
      <c r="D125" s="112">
        <f>ROUND(SUM(D122:D124),3)</f>
        <v>5.649</v>
      </c>
      <c r="E125" s="59"/>
      <c r="F125" s="59"/>
      <c r="G125" s="113">
        <f t="shared" ref="G125:M125" si="119">ROUND(SUM(G122:G124),3)</f>
        <v>6858.8</v>
      </c>
      <c r="H125" s="113">
        <f t="shared" si="119"/>
        <v>4058.4</v>
      </c>
      <c r="I125" s="113">
        <f t="shared" si="119"/>
        <v>1259</v>
      </c>
      <c r="J125" s="113">
        <f t="shared" si="119"/>
        <v>4962.5</v>
      </c>
      <c r="K125" s="113">
        <f t="shared" si="119"/>
        <v>34.6</v>
      </c>
      <c r="L125" s="113">
        <f t="shared" si="119"/>
        <v>0</v>
      </c>
      <c r="M125" s="113">
        <f t="shared" si="119"/>
        <v>6858.8</v>
      </c>
      <c r="N125" s="61"/>
      <c r="O125" s="113">
        <f t="shared" ref="O125:S125" si="120">ROUND(SUM(O122:O124),3)</f>
        <v>3549.9</v>
      </c>
      <c r="P125" s="113">
        <f t="shared" si="120"/>
        <v>2730.1</v>
      </c>
      <c r="Q125" s="113">
        <f t="shared" si="120"/>
        <v>819.8</v>
      </c>
      <c r="R125" s="113">
        <f t="shared" si="120"/>
        <v>34.6</v>
      </c>
      <c r="S125" s="113">
        <f t="shared" si="120"/>
        <v>3584.5</v>
      </c>
      <c r="T125" s="113">
        <f>ROUND(SUM(T122:T124),3)</f>
        <v>0</v>
      </c>
      <c r="U125" s="113">
        <f>ROUND(SUM(U122:U124),3)</f>
        <v>0</v>
      </c>
      <c r="V125" s="114">
        <f>ROUND(SUM(V122:V124),3)</f>
        <v>0</v>
      </c>
      <c r="W125" s="115"/>
      <c r="X125" s="113">
        <f t="shared" ref="X125:AA125" si="121">ROUND(SUM(X122:X124),3)</f>
        <v>17.5</v>
      </c>
      <c r="Y125" s="113">
        <f t="shared" si="121"/>
        <v>11</v>
      </c>
      <c r="Z125" s="113">
        <f t="shared" si="121"/>
        <v>1</v>
      </c>
      <c r="AA125" s="113">
        <f t="shared" si="121"/>
        <v>0</v>
      </c>
      <c r="AB125" s="66"/>
      <c r="AC125" s="116">
        <f t="shared" si="77"/>
        <v>11</v>
      </c>
      <c r="AD125" s="68"/>
    </row>
    <row r="126" spans="1:30" ht="15.75" x14ac:dyDescent="0.25">
      <c r="A126" s="92"/>
      <c r="B126" s="104" t="s">
        <v>50</v>
      </c>
      <c r="C126" s="37" t="s">
        <v>132</v>
      </c>
      <c r="D126" s="70">
        <v>15.302</v>
      </c>
      <c r="E126" s="71">
        <v>67.400000000000006</v>
      </c>
      <c r="F126" s="71">
        <f t="shared" si="83"/>
        <v>1031.3548000000001</v>
      </c>
      <c r="G126" s="105">
        <v>839.5</v>
      </c>
      <c r="H126" s="105">
        <v>368</v>
      </c>
      <c r="I126" s="105">
        <v>101.7</v>
      </c>
      <c r="J126" s="73">
        <f>H126+I126</f>
        <v>469.7</v>
      </c>
      <c r="K126" s="73">
        <f>27.3+8.2</f>
        <v>35.5</v>
      </c>
      <c r="L126" s="73">
        <v>35.5</v>
      </c>
      <c r="M126" s="73">
        <f>G126+L126</f>
        <v>875</v>
      </c>
      <c r="N126" s="73">
        <f>M126-F126</f>
        <v>-156.35480000000007</v>
      </c>
      <c r="O126" s="73">
        <v>469.7</v>
      </c>
      <c r="P126" s="105">
        <v>368</v>
      </c>
      <c r="Q126" s="105">
        <v>101.7</v>
      </c>
      <c r="R126" s="105">
        <v>35.6</v>
      </c>
      <c r="S126" s="74">
        <f t="shared" ref="S126:S129" si="122">O126+R126</f>
        <v>505.3</v>
      </c>
      <c r="T126" s="105"/>
      <c r="U126" s="105"/>
      <c r="V126" s="106">
        <f>T126+U126</f>
        <v>0</v>
      </c>
      <c r="W126" s="77">
        <v>1</v>
      </c>
      <c r="X126" s="37">
        <v>1</v>
      </c>
      <c r="Y126" s="37">
        <v>1</v>
      </c>
      <c r="Z126" s="37">
        <v>0.08</v>
      </c>
      <c r="AA126" s="37">
        <v>0.08</v>
      </c>
      <c r="AB126" s="78"/>
      <c r="AC126" s="107">
        <v>1</v>
      </c>
      <c r="AD126" s="54">
        <f t="shared" si="78"/>
        <v>0</v>
      </c>
    </row>
    <row r="127" spans="1:30" ht="15.75" x14ac:dyDescent="0.25">
      <c r="A127" s="92"/>
      <c r="B127" s="108"/>
      <c r="C127" s="82" t="s">
        <v>133</v>
      </c>
      <c r="D127" s="44">
        <v>3.0489999999999999</v>
      </c>
      <c r="E127" s="45">
        <v>1833.5</v>
      </c>
      <c r="F127" s="45">
        <f t="shared" si="83"/>
        <v>5590.3414999999995</v>
      </c>
      <c r="G127" s="82">
        <v>4902</v>
      </c>
      <c r="H127" s="82">
        <v>3632.7</v>
      </c>
      <c r="I127" s="82">
        <v>1045.3</v>
      </c>
      <c r="J127" s="47">
        <f>H127+I127</f>
        <v>4678</v>
      </c>
      <c r="K127" s="47">
        <f>33+10</f>
        <v>43</v>
      </c>
      <c r="L127" s="47">
        <v>4.3</v>
      </c>
      <c r="M127" s="47">
        <f>G127+L127</f>
        <v>4906.3</v>
      </c>
      <c r="N127" s="47">
        <f>M127-F127</f>
        <v>-684.04149999999936</v>
      </c>
      <c r="O127" s="47">
        <v>3429.2</v>
      </c>
      <c r="P127" s="82">
        <v>2608.6</v>
      </c>
      <c r="Q127" s="82">
        <v>820.6</v>
      </c>
      <c r="R127" s="82"/>
      <c r="S127" s="48">
        <f t="shared" si="122"/>
        <v>3429.2</v>
      </c>
      <c r="T127" s="82"/>
      <c r="U127" s="82"/>
      <c r="V127" s="110">
        <f>T127+U127</f>
        <v>0</v>
      </c>
      <c r="W127" s="51">
        <v>5</v>
      </c>
      <c r="X127" s="52">
        <v>10.5</v>
      </c>
      <c r="Y127" s="52">
        <v>5</v>
      </c>
      <c r="Z127" s="52">
        <v>0.06</v>
      </c>
      <c r="AA127" s="52"/>
      <c r="AB127" s="53">
        <f t="shared" ref="AB127:AB129" si="123">(Y127+AA127)-W127</f>
        <v>0</v>
      </c>
      <c r="AC127" s="87">
        <f t="shared" si="77"/>
        <v>5</v>
      </c>
      <c r="AD127" s="54">
        <f t="shared" si="78"/>
        <v>0</v>
      </c>
    </row>
    <row r="128" spans="1:30" ht="15.75" x14ac:dyDescent="0.25">
      <c r="A128" s="92"/>
      <c r="B128" s="108"/>
      <c r="C128" s="150" t="s">
        <v>134</v>
      </c>
      <c r="D128" s="44">
        <v>1.3779999999999999</v>
      </c>
      <c r="E128" s="45">
        <v>1664.2</v>
      </c>
      <c r="F128" s="45">
        <f t="shared" si="83"/>
        <v>2293.2675999999997</v>
      </c>
      <c r="G128" s="82">
        <v>2005.4</v>
      </c>
      <c r="H128" s="82">
        <v>1472.4</v>
      </c>
      <c r="I128" s="82">
        <v>446.2</v>
      </c>
      <c r="J128" s="47">
        <f>H128+I128</f>
        <v>1918.6000000000001</v>
      </c>
      <c r="K128" s="47">
        <f>191+57.7</f>
        <v>248.7</v>
      </c>
      <c r="L128" s="47">
        <v>207.7</v>
      </c>
      <c r="M128" s="47">
        <f>G128+L128</f>
        <v>2213.1</v>
      </c>
      <c r="N128" s="47">
        <f>M128-F128</f>
        <v>-80.167599999999766</v>
      </c>
      <c r="O128" s="47">
        <v>1338.2</v>
      </c>
      <c r="P128" s="82">
        <v>1027.8</v>
      </c>
      <c r="Q128" s="82">
        <v>310.39999999999998</v>
      </c>
      <c r="R128" s="82">
        <v>248.7</v>
      </c>
      <c r="S128" s="48">
        <f t="shared" si="122"/>
        <v>1586.9</v>
      </c>
      <c r="T128" s="82"/>
      <c r="U128" s="82"/>
      <c r="V128" s="110">
        <f>T128+U128</f>
        <v>0</v>
      </c>
      <c r="W128" s="51">
        <v>4</v>
      </c>
      <c r="X128" s="52">
        <v>5</v>
      </c>
      <c r="Y128" s="52">
        <v>3</v>
      </c>
      <c r="Z128" s="52">
        <v>0.56999999999999995</v>
      </c>
      <c r="AA128" s="52">
        <v>0.56999999999999995</v>
      </c>
      <c r="AB128" s="53">
        <f t="shared" si="123"/>
        <v>-0.43000000000000016</v>
      </c>
      <c r="AC128" s="87">
        <v>3.5</v>
      </c>
      <c r="AD128" s="54">
        <f t="shared" si="78"/>
        <v>-0.5</v>
      </c>
    </row>
    <row r="129" spans="1:30" ht="15.75" x14ac:dyDescent="0.25">
      <c r="A129" s="92"/>
      <c r="B129" s="108"/>
      <c r="C129" s="82" t="s">
        <v>135</v>
      </c>
      <c r="D129" s="44">
        <v>0.85299999999999998</v>
      </c>
      <c r="E129" s="45">
        <v>2455.1999999999998</v>
      </c>
      <c r="F129" s="45">
        <f t="shared" si="83"/>
        <v>2094.2855999999997</v>
      </c>
      <c r="G129" s="82">
        <v>1874.8</v>
      </c>
      <c r="H129" s="82">
        <v>1371.1</v>
      </c>
      <c r="I129" s="82">
        <v>414.1</v>
      </c>
      <c r="J129" s="47">
        <f>H129+I129</f>
        <v>1785.1999999999998</v>
      </c>
      <c r="K129" s="47">
        <f>131.5+39.7</f>
        <v>171.2</v>
      </c>
      <c r="L129" s="47">
        <v>165.3</v>
      </c>
      <c r="M129" s="47">
        <f>G129+L129</f>
        <v>2040.1</v>
      </c>
      <c r="N129" s="47">
        <f>M129-F129</f>
        <v>-54.185599999999795</v>
      </c>
      <c r="O129" s="47">
        <v>996.1</v>
      </c>
      <c r="P129" s="82">
        <v>768.8</v>
      </c>
      <c r="Q129" s="82">
        <v>227.4</v>
      </c>
      <c r="R129" s="82">
        <v>171.3</v>
      </c>
      <c r="S129" s="48">
        <f t="shared" si="122"/>
        <v>1167.4000000000001</v>
      </c>
      <c r="T129" s="82"/>
      <c r="U129" s="82"/>
      <c r="V129" s="110">
        <f>T129+U129</f>
        <v>0</v>
      </c>
      <c r="W129" s="51">
        <v>4</v>
      </c>
      <c r="X129" s="52">
        <v>6</v>
      </c>
      <c r="Y129" s="52">
        <v>2</v>
      </c>
      <c r="Z129" s="52">
        <v>0.46</v>
      </c>
      <c r="AA129" s="52">
        <v>0.46</v>
      </c>
      <c r="AB129" s="53">
        <f t="shared" si="123"/>
        <v>-1.54</v>
      </c>
      <c r="AC129" s="87">
        <f t="shared" si="77"/>
        <v>2.46</v>
      </c>
      <c r="AD129" s="54">
        <v>-1.5</v>
      </c>
    </row>
    <row r="130" spans="1:30" ht="16.5" thickBot="1" x14ac:dyDescent="0.3">
      <c r="A130" s="92"/>
      <c r="B130" s="111"/>
      <c r="C130" s="66" t="s">
        <v>65</v>
      </c>
      <c r="D130" s="112">
        <f>ROUND(SUM(D126:D129),3)</f>
        <v>20.582000000000001</v>
      </c>
      <c r="E130" s="59"/>
      <c r="F130" s="59"/>
      <c r="G130" s="113">
        <f t="shared" ref="G130:M130" si="124">ROUND(SUM(G126:G129),3)</f>
        <v>9621.7000000000007</v>
      </c>
      <c r="H130" s="113">
        <f t="shared" si="124"/>
        <v>6844.2</v>
      </c>
      <c r="I130" s="113">
        <f t="shared" si="124"/>
        <v>2007.3</v>
      </c>
      <c r="J130" s="113">
        <f t="shared" si="124"/>
        <v>8851.5</v>
      </c>
      <c r="K130" s="113">
        <f t="shared" si="124"/>
        <v>498.4</v>
      </c>
      <c r="L130" s="113">
        <f t="shared" si="124"/>
        <v>412.8</v>
      </c>
      <c r="M130" s="113">
        <f t="shared" si="124"/>
        <v>10034.5</v>
      </c>
      <c r="N130" s="61"/>
      <c r="O130" s="113">
        <f t="shared" ref="O130:V130" si="125">ROUND(SUM(O126:O129),3)</f>
        <v>6233.2</v>
      </c>
      <c r="P130" s="113">
        <f t="shared" si="125"/>
        <v>4773.2</v>
      </c>
      <c r="Q130" s="113">
        <f t="shared" si="125"/>
        <v>1460.1</v>
      </c>
      <c r="R130" s="113">
        <f t="shared" si="125"/>
        <v>455.6</v>
      </c>
      <c r="S130" s="113">
        <f t="shared" si="125"/>
        <v>6688.8</v>
      </c>
      <c r="T130" s="113">
        <f t="shared" si="125"/>
        <v>0</v>
      </c>
      <c r="U130" s="113">
        <f t="shared" si="125"/>
        <v>0</v>
      </c>
      <c r="V130" s="114">
        <f t="shared" si="125"/>
        <v>0</v>
      </c>
      <c r="W130" s="115"/>
      <c r="X130" s="113">
        <f>ROUND(SUM(X126:X129),3)</f>
        <v>22.5</v>
      </c>
      <c r="Y130" s="113">
        <f>ROUND(SUM(Y126:Y129),3)</f>
        <v>11</v>
      </c>
      <c r="Z130" s="113">
        <f>ROUND(SUM(Z126:Z129),3)</f>
        <v>1.17</v>
      </c>
      <c r="AA130" s="113">
        <f>ROUND(SUM(AA126:AA129),3)</f>
        <v>1.1100000000000001</v>
      </c>
      <c r="AB130" s="66"/>
      <c r="AC130" s="116">
        <v>12</v>
      </c>
      <c r="AD130" s="68"/>
    </row>
    <row r="131" spans="1:30" ht="15.75" x14ac:dyDescent="0.25">
      <c r="A131" s="92"/>
      <c r="B131" s="151" t="s">
        <v>51</v>
      </c>
      <c r="C131" s="37" t="s">
        <v>136</v>
      </c>
      <c r="D131" s="152">
        <v>6.4770000000000003</v>
      </c>
      <c r="E131" s="71">
        <v>0</v>
      </c>
      <c r="F131" s="71">
        <v>0</v>
      </c>
      <c r="G131" s="153"/>
      <c r="H131" s="153"/>
      <c r="I131" s="153"/>
      <c r="J131" s="153"/>
      <c r="K131" s="153"/>
      <c r="L131" s="153"/>
      <c r="M131" s="73">
        <f>G131+L131</f>
        <v>0</v>
      </c>
      <c r="N131" s="73">
        <f>M131-F131</f>
        <v>0</v>
      </c>
      <c r="O131" s="153"/>
      <c r="P131" s="153"/>
      <c r="Q131" s="153"/>
      <c r="R131" s="153"/>
      <c r="S131" s="153"/>
      <c r="T131" s="153"/>
      <c r="U131" s="153"/>
      <c r="V131" s="154"/>
      <c r="W131" s="155">
        <v>0</v>
      </c>
      <c r="X131" s="153"/>
      <c r="Y131" s="153"/>
      <c r="Z131" s="153"/>
      <c r="AA131" s="153"/>
      <c r="AB131" s="153"/>
      <c r="AC131" s="153">
        <v>0</v>
      </c>
      <c r="AD131" s="79">
        <v>0</v>
      </c>
    </row>
    <row r="132" spans="1:30" ht="15.75" x14ac:dyDescent="0.25">
      <c r="A132" s="92"/>
      <c r="B132" s="156"/>
      <c r="C132" s="150" t="s">
        <v>137</v>
      </c>
      <c r="D132" s="44">
        <v>0.61899999999999999</v>
      </c>
      <c r="E132" s="45">
        <v>2870.5</v>
      </c>
      <c r="F132" s="45">
        <f t="shared" si="83"/>
        <v>1776.8395</v>
      </c>
      <c r="G132" s="82">
        <v>1658</v>
      </c>
      <c r="H132" s="82">
        <v>1070.5999999999999</v>
      </c>
      <c r="I132" s="82">
        <v>320.3</v>
      </c>
      <c r="J132" s="47">
        <v>975</v>
      </c>
      <c r="K132" s="47">
        <f>38.6+11.7</f>
        <v>50.3</v>
      </c>
      <c r="L132" s="47">
        <v>52.5</v>
      </c>
      <c r="M132" s="47">
        <f>G132+L132</f>
        <v>1710.5</v>
      </c>
      <c r="N132" s="47">
        <f>M132-F132</f>
        <v>-66.339500000000044</v>
      </c>
      <c r="O132" s="47">
        <v>1029.5</v>
      </c>
      <c r="P132" s="82">
        <v>792.6</v>
      </c>
      <c r="Q132" s="82">
        <v>236.9</v>
      </c>
      <c r="R132" s="82"/>
      <c r="S132" s="48">
        <f t="shared" ref="S132:S135" si="126">O132+R132</f>
        <v>1029.5</v>
      </c>
      <c r="T132" s="82"/>
      <c r="U132" s="82"/>
      <c r="V132" s="110">
        <f>T132+U132</f>
        <v>0</v>
      </c>
      <c r="W132" s="51">
        <v>3</v>
      </c>
      <c r="X132" s="52">
        <v>5.25</v>
      </c>
      <c r="Y132" s="52">
        <v>3</v>
      </c>
      <c r="Z132" s="52">
        <v>0.32</v>
      </c>
      <c r="AA132" s="52"/>
      <c r="AB132" s="53">
        <f t="shared" ref="AB132:AB135" si="127">(Y132+AA132)-W132</f>
        <v>0</v>
      </c>
      <c r="AC132" s="87">
        <f t="shared" si="77"/>
        <v>3</v>
      </c>
      <c r="AD132" s="54">
        <f t="shared" si="78"/>
        <v>0</v>
      </c>
    </row>
    <row r="133" spans="1:30" ht="15.75" x14ac:dyDescent="0.25">
      <c r="A133" s="92"/>
      <c r="B133" s="156"/>
      <c r="C133" s="150" t="s">
        <v>138</v>
      </c>
      <c r="D133" s="44">
        <v>1.6870000000000001</v>
      </c>
      <c r="E133" s="45">
        <v>1954.1</v>
      </c>
      <c r="F133" s="45">
        <f t="shared" si="83"/>
        <v>3296.5666999999999</v>
      </c>
      <c r="G133" s="82">
        <v>3186.6</v>
      </c>
      <c r="H133" s="82">
        <v>1903.2</v>
      </c>
      <c r="I133" s="82">
        <v>564.4</v>
      </c>
      <c r="J133" s="47">
        <f>H133+I133</f>
        <v>2467.6</v>
      </c>
      <c r="K133" s="47">
        <f>80.7+24.4</f>
        <v>105.1</v>
      </c>
      <c r="L133" s="47">
        <v>109.9</v>
      </c>
      <c r="M133" s="47">
        <f>G133+L133</f>
        <v>3296.5</v>
      </c>
      <c r="N133" s="47">
        <f>M133-F133</f>
        <v>-6.6699999999855208E-2</v>
      </c>
      <c r="O133" s="47">
        <v>1567.1</v>
      </c>
      <c r="P133" s="82">
        <v>1203.5999999999999</v>
      </c>
      <c r="Q133" s="82">
        <v>363.5</v>
      </c>
      <c r="R133" s="82"/>
      <c r="S133" s="48">
        <f t="shared" si="126"/>
        <v>1567.1</v>
      </c>
      <c r="T133" s="82"/>
      <c r="U133" s="82"/>
      <c r="V133" s="110">
        <f>T133+U133</f>
        <v>0</v>
      </c>
      <c r="W133" s="51">
        <v>5</v>
      </c>
      <c r="X133" s="52">
        <v>9.5</v>
      </c>
      <c r="Y133" s="52">
        <v>5</v>
      </c>
      <c r="Z133" s="52">
        <v>0.72</v>
      </c>
      <c r="AA133" s="52"/>
      <c r="AB133" s="53">
        <f t="shared" si="127"/>
        <v>0</v>
      </c>
      <c r="AC133" s="87">
        <f t="shared" si="77"/>
        <v>5</v>
      </c>
      <c r="AD133" s="54">
        <f t="shared" si="78"/>
        <v>0</v>
      </c>
    </row>
    <row r="134" spans="1:30" ht="15.75" x14ac:dyDescent="0.25">
      <c r="A134" s="92">
        <v>35</v>
      </c>
      <c r="B134" s="156"/>
      <c r="C134" s="150" t="s">
        <v>139</v>
      </c>
      <c r="D134" s="44">
        <v>0.57799999999999996</v>
      </c>
      <c r="E134" s="45">
        <v>3507.3</v>
      </c>
      <c r="F134" s="45">
        <f t="shared" si="83"/>
        <v>2027.2194</v>
      </c>
      <c r="G134" s="82">
        <v>1979.3</v>
      </c>
      <c r="H134" s="82">
        <v>1268.5999999999999</v>
      </c>
      <c r="I134" s="82">
        <v>377.3</v>
      </c>
      <c r="J134" s="47">
        <f>H134+I134</f>
        <v>1645.8999999999999</v>
      </c>
      <c r="K134" s="47">
        <f>35.3+10.6</f>
        <v>45.9</v>
      </c>
      <c r="L134" s="47">
        <v>47.9</v>
      </c>
      <c r="M134" s="47">
        <f>G134+L134</f>
        <v>2027.2</v>
      </c>
      <c r="N134" s="47">
        <f>M134-F134</f>
        <v>-1.9399999999905049E-2</v>
      </c>
      <c r="O134" s="47">
        <v>750.5</v>
      </c>
      <c r="P134" s="82">
        <v>577.29999999999995</v>
      </c>
      <c r="Q134" s="82">
        <v>173.2</v>
      </c>
      <c r="R134" s="82"/>
      <c r="S134" s="48">
        <f t="shared" si="126"/>
        <v>750.5</v>
      </c>
      <c r="T134" s="82"/>
      <c r="U134" s="82"/>
      <c r="V134" s="110">
        <f>T134+U134</f>
        <v>0</v>
      </c>
      <c r="W134" s="51">
        <v>3</v>
      </c>
      <c r="X134" s="52">
        <v>6.75</v>
      </c>
      <c r="Y134" s="52">
        <v>3</v>
      </c>
      <c r="Z134" s="52">
        <v>0.28999999999999998</v>
      </c>
      <c r="AA134" s="52"/>
      <c r="AB134" s="53">
        <f t="shared" si="127"/>
        <v>0</v>
      </c>
      <c r="AC134" s="87">
        <f t="shared" si="77"/>
        <v>3</v>
      </c>
      <c r="AD134" s="54">
        <f t="shared" si="78"/>
        <v>0</v>
      </c>
    </row>
    <row r="135" spans="1:30" ht="15.75" x14ac:dyDescent="0.25">
      <c r="A135" s="92"/>
      <c r="B135" s="156"/>
      <c r="C135" s="150" t="s">
        <v>140</v>
      </c>
      <c r="D135" s="44">
        <v>1.119</v>
      </c>
      <c r="E135" s="45">
        <v>2571</v>
      </c>
      <c r="F135" s="45">
        <f t="shared" si="83"/>
        <v>2876.9490000000001</v>
      </c>
      <c r="G135" s="82">
        <v>2796</v>
      </c>
      <c r="H135" s="82">
        <v>1750.1</v>
      </c>
      <c r="I135" s="82">
        <v>523.1</v>
      </c>
      <c r="J135" s="47">
        <f>H135+I135</f>
        <v>2273.1999999999998</v>
      </c>
      <c r="K135" s="47">
        <f>59.5+18</f>
        <v>77.5</v>
      </c>
      <c r="L135" s="47">
        <v>80.900000000000006</v>
      </c>
      <c r="M135" s="47">
        <f>G135+L135</f>
        <v>2876.9</v>
      </c>
      <c r="N135" s="47">
        <f>M135-F135</f>
        <v>-4.8999999999978172E-2</v>
      </c>
      <c r="O135" s="47">
        <v>1399.5</v>
      </c>
      <c r="P135" s="82">
        <v>1077.7</v>
      </c>
      <c r="Q135" s="82">
        <v>321.8</v>
      </c>
      <c r="R135" s="82"/>
      <c r="S135" s="48">
        <f t="shared" si="126"/>
        <v>1399.5</v>
      </c>
      <c r="T135" s="82"/>
      <c r="U135" s="82"/>
      <c r="V135" s="110">
        <f>T135+U135</f>
        <v>0</v>
      </c>
      <c r="W135" s="51">
        <v>4</v>
      </c>
      <c r="X135" s="52">
        <v>8.5</v>
      </c>
      <c r="Y135" s="52">
        <v>4</v>
      </c>
      <c r="Z135" s="52">
        <v>0.32</v>
      </c>
      <c r="AA135" s="52"/>
      <c r="AB135" s="53">
        <f t="shared" si="127"/>
        <v>0</v>
      </c>
      <c r="AC135" s="87">
        <f t="shared" si="77"/>
        <v>4</v>
      </c>
      <c r="AD135" s="54">
        <f t="shared" si="78"/>
        <v>0</v>
      </c>
    </row>
    <row r="136" spans="1:30" ht="16.5" thickBot="1" x14ac:dyDescent="0.3">
      <c r="A136" s="92"/>
      <c r="B136" s="157"/>
      <c r="C136" s="66" t="s">
        <v>65</v>
      </c>
      <c r="D136" s="112">
        <f>ROUND(SUM(D131:D135),3)</f>
        <v>10.48</v>
      </c>
      <c r="E136" s="59"/>
      <c r="F136" s="59"/>
      <c r="G136" s="113">
        <f>ROUND(SUM(G131:G135),3)</f>
        <v>9619.9</v>
      </c>
      <c r="H136" s="113">
        <f t="shared" ref="H136:L136" si="128">ROUND(SUM(H131:H135),3)</f>
        <v>5992.5</v>
      </c>
      <c r="I136" s="113">
        <f t="shared" si="128"/>
        <v>1785.1</v>
      </c>
      <c r="J136" s="113">
        <f t="shared" si="128"/>
        <v>7361.7</v>
      </c>
      <c r="K136" s="113">
        <f t="shared" si="128"/>
        <v>278.8</v>
      </c>
      <c r="L136" s="113">
        <f t="shared" si="128"/>
        <v>291.2</v>
      </c>
      <c r="M136" s="113">
        <f t="shared" ref="M136" si="129">ROUND(SUM(M132:M135),3)</f>
        <v>9911.1</v>
      </c>
      <c r="N136" s="61"/>
      <c r="O136" s="113">
        <f t="shared" ref="O136:S136" si="130">ROUND(SUM(O132:O135),3)</f>
        <v>4746.6000000000004</v>
      </c>
      <c r="P136" s="113">
        <f t="shared" si="130"/>
        <v>3651.2</v>
      </c>
      <c r="Q136" s="113">
        <f t="shared" si="130"/>
        <v>1095.4000000000001</v>
      </c>
      <c r="R136" s="113">
        <f t="shared" si="130"/>
        <v>0</v>
      </c>
      <c r="S136" s="113">
        <f t="shared" si="130"/>
        <v>4746.6000000000004</v>
      </c>
      <c r="T136" s="113">
        <f>ROUND(SUM(T132:T135),3)</f>
        <v>0</v>
      </c>
      <c r="U136" s="113">
        <f>ROUND(SUM(U132:U135),3)</f>
        <v>0</v>
      </c>
      <c r="V136" s="114">
        <f>ROUND(SUM(V132:V135),3)</f>
        <v>0</v>
      </c>
      <c r="W136" s="115"/>
      <c r="X136" s="119">
        <f t="shared" ref="X136:AA136" si="131">ROUND(SUM(X132:X135),3)</f>
        <v>30</v>
      </c>
      <c r="Y136" s="113">
        <f t="shared" si="131"/>
        <v>15</v>
      </c>
      <c r="Z136" s="113">
        <f t="shared" si="131"/>
        <v>1.65</v>
      </c>
      <c r="AA136" s="113">
        <f t="shared" si="131"/>
        <v>0</v>
      </c>
      <c r="AB136" s="66"/>
      <c r="AC136" s="116">
        <f t="shared" si="77"/>
        <v>15</v>
      </c>
      <c r="AD136" s="68"/>
    </row>
    <row r="137" spans="1:30" ht="15.75" x14ac:dyDescent="0.25">
      <c r="A137" s="92"/>
      <c r="B137" s="104" t="s">
        <v>52</v>
      </c>
      <c r="C137" s="37" t="s">
        <v>141</v>
      </c>
      <c r="D137" s="70">
        <v>24.061</v>
      </c>
      <c r="E137" s="71">
        <v>101.8</v>
      </c>
      <c r="F137" s="71">
        <f t="shared" ref="F137:F175" si="132">E137*D137</f>
        <v>2449.4097999999999</v>
      </c>
      <c r="G137" s="105">
        <v>2449.1999999999998</v>
      </c>
      <c r="H137" s="105">
        <v>1010.5</v>
      </c>
      <c r="I137" s="105">
        <v>305.39999999999998</v>
      </c>
      <c r="J137" s="73">
        <f>H137+I137</f>
        <v>1315.9</v>
      </c>
      <c r="K137" s="73"/>
      <c r="L137" s="73"/>
      <c r="M137" s="73">
        <f>G137+L137</f>
        <v>2449.1999999999998</v>
      </c>
      <c r="N137" s="73">
        <f>M137-F137</f>
        <v>-0.20980000000008658</v>
      </c>
      <c r="O137" s="73">
        <v>776.9</v>
      </c>
      <c r="P137" s="105">
        <v>596.70000000000005</v>
      </c>
      <c r="Q137" s="105">
        <v>180.2</v>
      </c>
      <c r="R137" s="105"/>
      <c r="S137" s="74">
        <f t="shared" ref="S137:S140" si="133">O137+R137</f>
        <v>776.9</v>
      </c>
      <c r="T137" s="105"/>
      <c r="U137" s="105"/>
      <c r="V137" s="106">
        <f>T137+U137</f>
        <v>0</v>
      </c>
      <c r="W137" s="77">
        <v>1</v>
      </c>
      <c r="X137" s="37">
        <v>3</v>
      </c>
      <c r="Y137" s="37">
        <v>1</v>
      </c>
      <c r="Z137" s="37"/>
      <c r="AA137" s="37"/>
      <c r="AB137" s="78">
        <f t="shared" ref="AB137:AB140" si="134">(Y137+AA137)-W137</f>
        <v>0</v>
      </c>
      <c r="AC137" s="107">
        <f t="shared" si="77"/>
        <v>1</v>
      </c>
      <c r="AD137" s="79">
        <f t="shared" si="78"/>
        <v>0</v>
      </c>
    </row>
    <row r="138" spans="1:30" ht="15.75" x14ac:dyDescent="0.25">
      <c r="A138" s="92"/>
      <c r="B138" s="108"/>
      <c r="C138" s="127" t="s">
        <v>142</v>
      </c>
      <c r="D138" s="44">
        <v>3.5350000000000001</v>
      </c>
      <c r="E138" s="45">
        <v>1215.2</v>
      </c>
      <c r="F138" s="45">
        <f t="shared" si="132"/>
        <v>4295.732</v>
      </c>
      <c r="G138" s="82">
        <v>2990.3</v>
      </c>
      <c r="H138" s="82">
        <v>2497.4</v>
      </c>
      <c r="I138" s="82">
        <v>741.6</v>
      </c>
      <c r="J138" s="47">
        <f t="shared" ref="J138:J139" si="135">H138+I138</f>
        <v>3239</v>
      </c>
      <c r="K138" s="47">
        <f>230.4+69.6</f>
        <v>300</v>
      </c>
      <c r="L138" s="47"/>
      <c r="M138" s="47">
        <f>G138+L138</f>
        <v>2990.3</v>
      </c>
      <c r="N138" s="47">
        <f>M138-F138</f>
        <v>-1305.4319999999998</v>
      </c>
      <c r="O138" s="47">
        <v>2193.3000000000002</v>
      </c>
      <c r="P138" s="82">
        <v>1688.4</v>
      </c>
      <c r="Q138" s="82">
        <v>504.9</v>
      </c>
      <c r="R138" s="82"/>
      <c r="S138" s="48">
        <f t="shared" si="133"/>
        <v>2193.3000000000002</v>
      </c>
      <c r="T138" s="82"/>
      <c r="U138" s="82"/>
      <c r="V138" s="110">
        <f>T138+U138</f>
        <v>0</v>
      </c>
      <c r="W138" s="83">
        <v>5</v>
      </c>
      <c r="X138" s="52">
        <v>10.1</v>
      </c>
      <c r="Y138" s="52">
        <v>5</v>
      </c>
      <c r="Z138" s="52">
        <v>1</v>
      </c>
      <c r="AA138" s="52"/>
      <c r="AB138" s="53">
        <f t="shared" si="134"/>
        <v>0</v>
      </c>
      <c r="AC138" s="87">
        <f t="shared" si="77"/>
        <v>5</v>
      </c>
      <c r="AD138" s="54">
        <f t="shared" si="78"/>
        <v>0</v>
      </c>
    </row>
    <row r="139" spans="1:30" ht="15.75" x14ac:dyDescent="0.25">
      <c r="A139" s="92"/>
      <c r="B139" s="108"/>
      <c r="C139" s="127" t="s">
        <v>143</v>
      </c>
      <c r="D139" s="44">
        <v>2.794</v>
      </c>
      <c r="E139" s="45">
        <v>1375.9</v>
      </c>
      <c r="F139" s="45">
        <f t="shared" si="132"/>
        <v>3844.2646000000004</v>
      </c>
      <c r="G139" s="82">
        <v>3235.5</v>
      </c>
      <c r="H139" s="82">
        <v>2307.6</v>
      </c>
      <c r="I139" s="82">
        <v>678.8</v>
      </c>
      <c r="J139" s="47">
        <f t="shared" si="135"/>
        <v>2986.3999999999996</v>
      </c>
      <c r="K139" s="47">
        <f>230.4+69.6</f>
        <v>300</v>
      </c>
      <c r="L139" s="47"/>
      <c r="M139" s="47">
        <f>G139+L139</f>
        <v>3235.5</v>
      </c>
      <c r="N139" s="47">
        <f>M139-F139</f>
        <v>-608.76460000000043</v>
      </c>
      <c r="O139" s="47">
        <v>1198.5</v>
      </c>
      <c r="P139" s="82">
        <v>907.9</v>
      </c>
      <c r="Q139" s="82">
        <v>271.60000000000002</v>
      </c>
      <c r="R139" s="82">
        <v>300</v>
      </c>
      <c r="S139" s="48">
        <f t="shared" si="133"/>
        <v>1498.5</v>
      </c>
      <c r="T139" s="82"/>
      <c r="U139" s="82"/>
      <c r="V139" s="110">
        <f>T139+U139</f>
        <v>0</v>
      </c>
      <c r="W139" s="83">
        <v>5</v>
      </c>
      <c r="X139" s="52">
        <v>9</v>
      </c>
      <c r="Y139" s="52">
        <v>3</v>
      </c>
      <c r="Z139" s="52">
        <v>1</v>
      </c>
      <c r="AA139" s="52"/>
      <c r="AB139" s="53">
        <f t="shared" si="134"/>
        <v>-2</v>
      </c>
      <c r="AC139" s="87">
        <f t="shared" si="77"/>
        <v>3</v>
      </c>
      <c r="AD139" s="54">
        <f t="shared" si="78"/>
        <v>-2</v>
      </c>
    </row>
    <row r="140" spans="1:30" ht="15.75" x14ac:dyDescent="0.25">
      <c r="A140" s="92"/>
      <c r="B140" s="108"/>
      <c r="C140" s="127" t="s">
        <v>144</v>
      </c>
      <c r="D140" s="44">
        <v>2.3140000000000001</v>
      </c>
      <c r="E140" s="45">
        <v>1761.1</v>
      </c>
      <c r="F140" s="45">
        <f t="shared" si="132"/>
        <v>4075.1853999999998</v>
      </c>
      <c r="G140" s="82">
        <v>3162.1</v>
      </c>
      <c r="H140" s="82">
        <v>2433.6</v>
      </c>
      <c r="I140" s="82">
        <v>741.6</v>
      </c>
      <c r="J140" s="47">
        <f>H140+I140</f>
        <v>3175.2</v>
      </c>
      <c r="K140" s="47">
        <f>230.4+69.6</f>
        <v>300</v>
      </c>
      <c r="L140" s="47"/>
      <c r="M140" s="47">
        <f>G140+L140</f>
        <v>3162.1</v>
      </c>
      <c r="N140" s="47">
        <f>M140-F140</f>
        <v>-913.08539999999994</v>
      </c>
      <c r="O140" s="47">
        <v>1332.9</v>
      </c>
      <c r="P140" s="82">
        <v>1005.4</v>
      </c>
      <c r="Q140" s="82">
        <v>327.60000000000002</v>
      </c>
      <c r="R140" s="82">
        <v>300</v>
      </c>
      <c r="S140" s="48">
        <f t="shared" si="133"/>
        <v>1632.9</v>
      </c>
      <c r="T140" s="82"/>
      <c r="U140" s="82"/>
      <c r="V140" s="110">
        <f>T140+U140</f>
        <v>0</v>
      </c>
      <c r="W140" s="83">
        <v>5</v>
      </c>
      <c r="X140" s="52">
        <v>14</v>
      </c>
      <c r="Y140" s="52">
        <v>4</v>
      </c>
      <c r="Z140" s="52">
        <v>1</v>
      </c>
      <c r="AA140" s="52"/>
      <c r="AB140" s="53">
        <f t="shared" si="134"/>
        <v>-1</v>
      </c>
      <c r="AC140" s="87">
        <f t="shared" si="77"/>
        <v>4</v>
      </c>
      <c r="AD140" s="54">
        <f t="shared" si="78"/>
        <v>-1</v>
      </c>
    </row>
    <row r="141" spans="1:30" ht="16.5" thickBot="1" x14ac:dyDescent="0.3">
      <c r="A141" s="92"/>
      <c r="B141" s="111"/>
      <c r="C141" s="66" t="s">
        <v>65</v>
      </c>
      <c r="D141" s="112">
        <f t="shared" ref="D141" si="136">D137+D138+D139+D140</f>
        <v>32.704000000000001</v>
      </c>
      <c r="E141" s="59"/>
      <c r="F141" s="59"/>
      <c r="G141" s="113">
        <f t="shared" ref="G141:I141" si="137">ROUND(SUM(G137:G140),3)</f>
        <v>11837.1</v>
      </c>
      <c r="H141" s="113">
        <f t="shared" si="137"/>
        <v>8249.1</v>
      </c>
      <c r="I141" s="113">
        <f t="shared" si="137"/>
        <v>2467.4</v>
      </c>
      <c r="J141" s="113">
        <f t="shared" ref="J141:V141" si="138">ROUND(SUM(J137:J140),3)</f>
        <v>10716.5</v>
      </c>
      <c r="K141" s="113">
        <f t="shared" si="138"/>
        <v>900</v>
      </c>
      <c r="L141" s="113">
        <f t="shared" si="138"/>
        <v>0</v>
      </c>
      <c r="M141" s="113">
        <f>ROUND(SUM(M137:M140),3)</f>
        <v>11837.1</v>
      </c>
      <c r="N141" s="61"/>
      <c r="O141" s="113">
        <f t="shared" ref="O141:S141" si="139">ROUND(SUM(O137:O140),3)</f>
        <v>5501.6</v>
      </c>
      <c r="P141" s="113">
        <f t="shared" si="139"/>
        <v>4198.3999999999996</v>
      </c>
      <c r="Q141" s="113">
        <f t="shared" si="139"/>
        <v>1284.3</v>
      </c>
      <c r="R141" s="113">
        <f t="shared" si="139"/>
        <v>600</v>
      </c>
      <c r="S141" s="113">
        <f t="shared" si="139"/>
        <v>6101.6</v>
      </c>
      <c r="T141" s="113">
        <f t="shared" si="138"/>
        <v>0</v>
      </c>
      <c r="U141" s="113">
        <f t="shared" si="138"/>
        <v>0</v>
      </c>
      <c r="V141" s="114">
        <f t="shared" si="138"/>
        <v>0</v>
      </c>
      <c r="W141" s="115"/>
      <c r="X141" s="113">
        <f t="shared" ref="X141:AA141" si="140">ROUND(SUM(X137:X140),3)</f>
        <v>36.1</v>
      </c>
      <c r="Y141" s="113">
        <f t="shared" si="140"/>
        <v>13</v>
      </c>
      <c r="Z141" s="113">
        <f t="shared" si="140"/>
        <v>3</v>
      </c>
      <c r="AA141" s="113">
        <f t="shared" si="140"/>
        <v>0</v>
      </c>
      <c r="AB141" s="66"/>
      <c r="AC141" s="116">
        <f t="shared" si="77"/>
        <v>13</v>
      </c>
      <c r="AD141" s="68"/>
    </row>
    <row r="142" spans="1:30" ht="15.75" x14ac:dyDescent="0.25">
      <c r="A142" s="92"/>
      <c r="B142" s="141" t="s">
        <v>53</v>
      </c>
      <c r="C142" s="37" t="s">
        <v>145</v>
      </c>
      <c r="D142" s="152">
        <v>4.8819999999999997</v>
      </c>
      <c r="E142" s="71">
        <v>0</v>
      </c>
      <c r="F142" s="71">
        <v>0</v>
      </c>
      <c r="G142" s="153"/>
      <c r="H142" s="153"/>
      <c r="I142" s="153"/>
      <c r="J142" s="153"/>
      <c r="K142" s="153"/>
      <c r="L142" s="153"/>
      <c r="M142" s="153">
        <v>0</v>
      </c>
      <c r="N142" s="73">
        <v>0</v>
      </c>
      <c r="O142" s="153"/>
      <c r="P142" s="153"/>
      <c r="Q142" s="153"/>
      <c r="R142" s="153"/>
      <c r="S142" s="153"/>
      <c r="T142" s="153"/>
      <c r="U142" s="153"/>
      <c r="V142" s="154"/>
      <c r="W142" s="155">
        <v>0</v>
      </c>
      <c r="X142" s="153"/>
      <c r="Y142" s="153"/>
      <c r="Z142" s="153"/>
      <c r="AA142" s="153"/>
      <c r="AB142" s="153"/>
      <c r="AC142" s="153">
        <v>0</v>
      </c>
      <c r="AD142" s="158">
        <v>0</v>
      </c>
    </row>
    <row r="143" spans="1:30" ht="15.75" x14ac:dyDescent="0.25">
      <c r="A143" s="92"/>
      <c r="B143" s="142"/>
      <c r="C143" s="82" t="s">
        <v>146</v>
      </c>
      <c r="D143" s="44">
        <v>1.494</v>
      </c>
      <c r="E143" s="45">
        <v>1682.4</v>
      </c>
      <c r="F143" s="45">
        <f t="shared" si="132"/>
        <v>2513.5056</v>
      </c>
      <c r="G143" s="82">
        <v>2082.6</v>
      </c>
      <c r="H143" s="82">
        <v>1103.0999999999999</v>
      </c>
      <c r="I143" s="82">
        <v>438.5</v>
      </c>
      <c r="J143" s="47">
        <f t="shared" ref="J143:J147" si="141">H143+I143</f>
        <v>1541.6</v>
      </c>
      <c r="K143" s="47"/>
      <c r="L143" s="47"/>
      <c r="M143" s="47">
        <f>G143+L143</f>
        <v>2082.6</v>
      </c>
      <c r="N143" s="47">
        <f>M143-F143</f>
        <v>-430.90560000000005</v>
      </c>
      <c r="O143" s="47">
        <v>682.7</v>
      </c>
      <c r="P143" s="82">
        <v>519.20000000000005</v>
      </c>
      <c r="Q143" s="82">
        <v>163.5</v>
      </c>
      <c r="R143" s="82"/>
      <c r="S143" s="48">
        <f t="shared" ref="S143:S147" si="142">O143+R143</f>
        <v>682.7</v>
      </c>
      <c r="T143" s="82"/>
      <c r="U143" s="82"/>
      <c r="V143" s="110">
        <f>T143+U143</f>
        <v>0</v>
      </c>
      <c r="W143" s="51">
        <v>4</v>
      </c>
      <c r="X143" s="52">
        <v>4.5</v>
      </c>
      <c r="Y143" s="52">
        <v>2</v>
      </c>
      <c r="Z143" s="52"/>
      <c r="AA143" s="52"/>
      <c r="AB143" s="53">
        <f t="shared" ref="AB143:AB147" si="143">(Y143+AA143)-W143</f>
        <v>-2</v>
      </c>
      <c r="AC143" s="87">
        <f t="shared" si="77"/>
        <v>2</v>
      </c>
      <c r="AD143" s="54">
        <f t="shared" si="78"/>
        <v>-2</v>
      </c>
    </row>
    <row r="144" spans="1:30" ht="15.75" x14ac:dyDescent="0.25">
      <c r="A144" s="92"/>
      <c r="B144" s="142"/>
      <c r="C144" s="82" t="s">
        <v>147</v>
      </c>
      <c r="D144" s="44">
        <v>1.4279999999999999</v>
      </c>
      <c r="E144" s="45">
        <v>1800.3</v>
      </c>
      <c r="F144" s="45">
        <f t="shared" si="132"/>
        <v>2570.8283999999999</v>
      </c>
      <c r="G144" s="82">
        <v>2423.6</v>
      </c>
      <c r="H144" s="82">
        <v>1598.6</v>
      </c>
      <c r="I144" s="82">
        <v>496.2</v>
      </c>
      <c r="J144" s="47">
        <f t="shared" si="141"/>
        <v>2094.7999999999997</v>
      </c>
      <c r="K144" s="47"/>
      <c r="L144" s="47"/>
      <c r="M144" s="47">
        <f>G144+L144</f>
        <v>2423.6</v>
      </c>
      <c r="N144" s="47">
        <f>M144-F144</f>
        <v>-147.22839999999997</v>
      </c>
      <c r="O144" s="47">
        <v>947.2</v>
      </c>
      <c r="P144" s="82">
        <v>727.5</v>
      </c>
      <c r="Q144" s="82">
        <v>219.7</v>
      </c>
      <c r="R144" s="82"/>
      <c r="S144" s="48">
        <f t="shared" si="142"/>
        <v>947.2</v>
      </c>
      <c r="T144" s="82"/>
      <c r="U144" s="82"/>
      <c r="V144" s="110">
        <f>T144+U144</f>
        <v>0</v>
      </c>
      <c r="W144" s="51">
        <v>4</v>
      </c>
      <c r="X144" s="52">
        <v>7.7</v>
      </c>
      <c r="Y144" s="52">
        <v>3</v>
      </c>
      <c r="Z144" s="52"/>
      <c r="AA144" s="52"/>
      <c r="AB144" s="53">
        <f t="shared" si="143"/>
        <v>-1</v>
      </c>
      <c r="AC144" s="87">
        <f t="shared" si="77"/>
        <v>3</v>
      </c>
      <c r="AD144" s="54">
        <f t="shared" si="78"/>
        <v>-1</v>
      </c>
    </row>
    <row r="145" spans="1:30" ht="15.75" x14ac:dyDescent="0.25">
      <c r="A145" s="92"/>
      <c r="B145" s="142"/>
      <c r="C145" s="82" t="s">
        <v>148</v>
      </c>
      <c r="D145" s="44">
        <v>1.0580000000000001</v>
      </c>
      <c r="E145" s="45">
        <v>2319.6</v>
      </c>
      <c r="F145" s="45">
        <f t="shared" si="132"/>
        <v>2454.1368000000002</v>
      </c>
      <c r="G145" s="82">
        <v>2339.4</v>
      </c>
      <c r="H145" s="82">
        <v>1284.3</v>
      </c>
      <c r="I145" s="82">
        <v>388.5</v>
      </c>
      <c r="J145" s="47">
        <f t="shared" si="141"/>
        <v>1672.8</v>
      </c>
      <c r="K145" s="47"/>
      <c r="L145" s="47"/>
      <c r="M145" s="47">
        <f>G145+L145</f>
        <v>2339.4</v>
      </c>
      <c r="N145" s="47">
        <f>M145-F145</f>
        <v>-114.73680000000013</v>
      </c>
      <c r="O145" s="47">
        <v>1142.9000000000001</v>
      </c>
      <c r="P145" s="82">
        <v>878.5</v>
      </c>
      <c r="Q145" s="82">
        <v>260.39999999999998</v>
      </c>
      <c r="R145" s="82"/>
      <c r="S145" s="48">
        <f t="shared" si="142"/>
        <v>1142.9000000000001</v>
      </c>
      <c r="T145" s="82"/>
      <c r="U145" s="82"/>
      <c r="V145" s="110">
        <f>T145+U145</f>
        <v>0</v>
      </c>
      <c r="W145" s="51">
        <v>4</v>
      </c>
      <c r="X145" s="52">
        <v>7.5</v>
      </c>
      <c r="Y145" s="52">
        <v>4</v>
      </c>
      <c r="Z145" s="52"/>
      <c r="AA145" s="52"/>
      <c r="AB145" s="53">
        <f t="shared" si="143"/>
        <v>0</v>
      </c>
      <c r="AC145" s="87">
        <f t="shared" si="77"/>
        <v>4</v>
      </c>
      <c r="AD145" s="54">
        <f t="shared" si="78"/>
        <v>0</v>
      </c>
    </row>
    <row r="146" spans="1:30" ht="15.75" x14ac:dyDescent="0.25">
      <c r="A146" s="92">
        <v>36</v>
      </c>
      <c r="B146" s="142"/>
      <c r="C146" s="82" t="s">
        <v>149</v>
      </c>
      <c r="D146" s="44">
        <v>0.627</v>
      </c>
      <c r="E146" s="45">
        <v>2340.4</v>
      </c>
      <c r="F146" s="45">
        <f t="shared" si="132"/>
        <v>1467.4308000000001</v>
      </c>
      <c r="G146" s="82">
        <v>1424.7</v>
      </c>
      <c r="H146" s="82">
        <v>648.5</v>
      </c>
      <c r="I146" s="82">
        <v>197.2</v>
      </c>
      <c r="J146" s="47">
        <f t="shared" si="141"/>
        <v>845.7</v>
      </c>
      <c r="K146" s="47"/>
      <c r="L146" s="47"/>
      <c r="M146" s="47">
        <f>G146+L146</f>
        <v>1424.7</v>
      </c>
      <c r="N146" s="47">
        <f>M146-F146</f>
        <v>-42.730800000000045</v>
      </c>
      <c r="O146" s="47">
        <v>623.1</v>
      </c>
      <c r="P146" s="82">
        <v>479.8</v>
      </c>
      <c r="Q146" s="82">
        <v>143.30000000000001</v>
      </c>
      <c r="R146" s="82"/>
      <c r="S146" s="48">
        <f t="shared" si="142"/>
        <v>623.1</v>
      </c>
      <c r="T146" s="82"/>
      <c r="U146" s="82"/>
      <c r="V146" s="110">
        <f>T146+U146</f>
        <v>0</v>
      </c>
      <c r="W146" s="51">
        <v>3</v>
      </c>
      <c r="X146" s="52">
        <v>4</v>
      </c>
      <c r="Y146" s="52">
        <v>3</v>
      </c>
      <c r="Z146" s="52"/>
      <c r="AA146" s="52"/>
      <c r="AB146" s="53">
        <f t="shared" si="143"/>
        <v>0</v>
      </c>
      <c r="AC146" s="87">
        <f t="shared" si="77"/>
        <v>3</v>
      </c>
      <c r="AD146" s="54">
        <f t="shared" si="78"/>
        <v>0</v>
      </c>
    </row>
    <row r="147" spans="1:30" ht="15.75" x14ac:dyDescent="0.25">
      <c r="A147" s="92"/>
      <c r="B147" s="142"/>
      <c r="C147" s="82" t="s">
        <v>150</v>
      </c>
      <c r="D147" s="44">
        <v>1.091</v>
      </c>
      <c r="E147" s="45">
        <v>1823.1</v>
      </c>
      <c r="F147" s="45">
        <f t="shared" si="132"/>
        <v>1989.0020999999999</v>
      </c>
      <c r="G147" s="82">
        <v>1883.8</v>
      </c>
      <c r="H147" s="82">
        <v>1082.4000000000001</v>
      </c>
      <c r="I147" s="82">
        <v>340.1</v>
      </c>
      <c r="J147" s="47">
        <f t="shared" si="141"/>
        <v>1422.5</v>
      </c>
      <c r="K147" s="47"/>
      <c r="L147" s="47"/>
      <c r="M147" s="47">
        <f>G147+L147</f>
        <v>1883.8</v>
      </c>
      <c r="N147" s="47">
        <f>M147-F147</f>
        <v>-105.20209999999997</v>
      </c>
      <c r="O147" s="47">
        <v>1063.5999999999999</v>
      </c>
      <c r="P147" s="82">
        <v>806.8</v>
      </c>
      <c r="Q147" s="82">
        <v>256.89999999999998</v>
      </c>
      <c r="R147" s="82"/>
      <c r="S147" s="48">
        <f t="shared" si="142"/>
        <v>1063.5999999999999</v>
      </c>
      <c r="T147" s="82"/>
      <c r="U147" s="82"/>
      <c r="V147" s="110">
        <f>T147+U147</f>
        <v>0</v>
      </c>
      <c r="W147" s="51">
        <v>4</v>
      </c>
      <c r="X147" s="52">
        <v>4</v>
      </c>
      <c r="Y147" s="52">
        <v>3</v>
      </c>
      <c r="Z147" s="52"/>
      <c r="AA147" s="52"/>
      <c r="AB147" s="53">
        <f t="shared" si="143"/>
        <v>-1</v>
      </c>
      <c r="AC147" s="87">
        <f t="shared" si="77"/>
        <v>3</v>
      </c>
      <c r="AD147" s="54">
        <f t="shared" si="78"/>
        <v>-1</v>
      </c>
    </row>
    <row r="148" spans="1:30" ht="16.5" thickBot="1" x14ac:dyDescent="0.3">
      <c r="A148" s="92"/>
      <c r="B148" s="143"/>
      <c r="C148" s="66" t="s">
        <v>65</v>
      </c>
      <c r="D148" s="112">
        <f>ROUND(SUM(D142:D147),3)</f>
        <v>10.58</v>
      </c>
      <c r="E148" s="59"/>
      <c r="F148" s="59"/>
      <c r="G148" s="113">
        <f t="shared" ref="G148:M148" si="144">ROUND(SUM(G143:G147),3)</f>
        <v>10154.1</v>
      </c>
      <c r="H148" s="113">
        <f t="shared" si="144"/>
        <v>5716.9</v>
      </c>
      <c r="I148" s="113">
        <f t="shared" si="144"/>
        <v>1860.5</v>
      </c>
      <c r="J148" s="113">
        <f t="shared" si="144"/>
        <v>7577.4</v>
      </c>
      <c r="K148" s="113"/>
      <c r="L148" s="113">
        <f t="shared" si="144"/>
        <v>0</v>
      </c>
      <c r="M148" s="113">
        <f t="shared" si="144"/>
        <v>10154.1</v>
      </c>
      <c r="N148" s="61"/>
      <c r="O148" s="113">
        <f t="shared" ref="O148:S148" si="145">ROUND(SUM(O143:O147),3)</f>
        <v>4459.5</v>
      </c>
      <c r="P148" s="113">
        <f t="shared" si="145"/>
        <v>3411.8</v>
      </c>
      <c r="Q148" s="113">
        <f t="shared" si="145"/>
        <v>1043.8</v>
      </c>
      <c r="R148" s="113">
        <f t="shared" si="145"/>
        <v>0</v>
      </c>
      <c r="S148" s="113">
        <f t="shared" si="145"/>
        <v>4459.5</v>
      </c>
      <c r="T148" s="113">
        <f>ROUND(SUM(T143:T147),3)</f>
        <v>0</v>
      </c>
      <c r="U148" s="113">
        <f>ROUND(SUM(U143:U147),3)</f>
        <v>0</v>
      </c>
      <c r="V148" s="114">
        <f>ROUND(SUM(V143:V147),3)</f>
        <v>0</v>
      </c>
      <c r="W148" s="115"/>
      <c r="X148" s="113">
        <f t="shared" ref="X148:AA148" si="146">ROUND(SUM(X143:X147),3)</f>
        <v>27.7</v>
      </c>
      <c r="Y148" s="113">
        <f t="shared" si="146"/>
        <v>15</v>
      </c>
      <c r="Z148" s="113">
        <f t="shared" si="146"/>
        <v>0</v>
      </c>
      <c r="AA148" s="113">
        <f t="shared" si="146"/>
        <v>0</v>
      </c>
      <c r="AB148" s="140"/>
      <c r="AC148" s="116">
        <f t="shared" si="77"/>
        <v>15</v>
      </c>
      <c r="AD148" s="68"/>
    </row>
    <row r="149" spans="1:30" ht="15.75" x14ac:dyDescent="0.25">
      <c r="A149" s="92"/>
      <c r="B149" s="159" t="s">
        <v>54</v>
      </c>
      <c r="C149" s="37" t="s">
        <v>151</v>
      </c>
      <c r="D149" s="70">
        <v>3.048</v>
      </c>
      <c r="E149" s="71">
        <v>1346.5</v>
      </c>
      <c r="F149" s="71">
        <f t="shared" si="132"/>
        <v>4104.1319999999996</v>
      </c>
      <c r="G149" s="105">
        <v>4017.4</v>
      </c>
      <c r="H149" s="105">
        <v>2555.6999999999998</v>
      </c>
      <c r="I149" s="105">
        <v>766.1</v>
      </c>
      <c r="J149" s="73">
        <f t="shared" ref="J149:J154" si="147">H149+I149</f>
        <v>3321.7999999999997</v>
      </c>
      <c r="K149" s="73">
        <f>7.7+2.3</f>
        <v>10</v>
      </c>
      <c r="L149" s="73">
        <v>56.7</v>
      </c>
      <c r="M149" s="73">
        <f t="shared" ref="M149:M154" si="148">G149+L149</f>
        <v>4074.1</v>
      </c>
      <c r="N149" s="73">
        <f t="shared" ref="N149:N154" si="149">M149-F149</f>
        <v>-30.031999999999698</v>
      </c>
      <c r="O149" s="73">
        <v>2131.1</v>
      </c>
      <c r="P149" s="105">
        <v>1636.8</v>
      </c>
      <c r="Q149" s="105">
        <v>494.3</v>
      </c>
      <c r="R149" s="105">
        <v>10</v>
      </c>
      <c r="S149" s="74">
        <f t="shared" ref="S149:S154" si="150">O149+R149</f>
        <v>2141.1</v>
      </c>
      <c r="T149" s="105"/>
      <c r="U149" s="105"/>
      <c r="V149" s="106">
        <f t="shared" ref="V149:V154" si="151">T149+U149</f>
        <v>0</v>
      </c>
      <c r="W149" s="77">
        <v>5</v>
      </c>
      <c r="X149" s="37">
        <v>13</v>
      </c>
      <c r="Y149" s="37">
        <v>4.9000000000000004</v>
      </c>
      <c r="Z149" s="37">
        <v>0.1</v>
      </c>
      <c r="AA149" s="37">
        <v>0.1</v>
      </c>
      <c r="AB149" s="78">
        <f t="shared" ref="AB149:AB154" si="152">(Y149+AA149)-W149</f>
        <v>0</v>
      </c>
      <c r="AC149" s="107">
        <f t="shared" si="77"/>
        <v>5</v>
      </c>
      <c r="AD149" s="79">
        <f t="shared" si="78"/>
        <v>0</v>
      </c>
    </row>
    <row r="150" spans="1:30" ht="15.75" x14ac:dyDescent="0.25">
      <c r="A150" s="92"/>
      <c r="B150" s="160"/>
      <c r="C150" s="161" t="s">
        <v>152</v>
      </c>
      <c r="D150" s="44">
        <v>1.611</v>
      </c>
      <c r="E150" s="45">
        <v>2111.6</v>
      </c>
      <c r="F150" s="45">
        <f t="shared" si="132"/>
        <v>3401.7875999999997</v>
      </c>
      <c r="G150" s="82">
        <v>3398.5</v>
      </c>
      <c r="H150" s="82">
        <v>2256.1999999999998</v>
      </c>
      <c r="I150" s="82">
        <v>671</v>
      </c>
      <c r="J150" s="47">
        <f t="shared" si="147"/>
        <v>2927.2</v>
      </c>
      <c r="K150" s="47"/>
      <c r="L150" s="47"/>
      <c r="M150" s="47">
        <f t="shared" si="148"/>
        <v>3398.5</v>
      </c>
      <c r="N150" s="47">
        <f t="shared" si="149"/>
        <v>-3.2875999999996566</v>
      </c>
      <c r="O150" s="47">
        <v>1990.3</v>
      </c>
      <c r="P150" s="82">
        <v>1536.6</v>
      </c>
      <c r="Q150" s="82">
        <v>453.7</v>
      </c>
      <c r="R150" s="82"/>
      <c r="S150" s="48">
        <f t="shared" si="150"/>
        <v>1990.3</v>
      </c>
      <c r="T150" s="82"/>
      <c r="U150" s="82"/>
      <c r="V150" s="110">
        <f t="shared" si="151"/>
        <v>0</v>
      </c>
      <c r="W150" s="51">
        <v>4</v>
      </c>
      <c r="X150" s="52">
        <v>9</v>
      </c>
      <c r="Y150" s="52">
        <v>3</v>
      </c>
      <c r="Z150" s="52"/>
      <c r="AA150" s="52"/>
      <c r="AB150" s="53">
        <f t="shared" si="152"/>
        <v>-1</v>
      </c>
      <c r="AC150" s="87">
        <f t="shared" si="77"/>
        <v>3</v>
      </c>
      <c r="AD150" s="54">
        <f t="shared" si="78"/>
        <v>-1</v>
      </c>
    </row>
    <row r="151" spans="1:30" ht="15.75" x14ac:dyDescent="0.25">
      <c r="A151" s="92"/>
      <c r="B151" s="160"/>
      <c r="C151" s="82" t="s">
        <v>153</v>
      </c>
      <c r="D151" s="44">
        <v>0.94799999999999995</v>
      </c>
      <c r="E151" s="45">
        <v>2973.1</v>
      </c>
      <c r="F151" s="45">
        <f t="shared" si="132"/>
        <v>2818.4987999999998</v>
      </c>
      <c r="G151" s="82">
        <v>2174.8000000000002</v>
      </c>
      <c r="H151" s="82">
        <v>1466.1</v>
      </c>
      <c r="I151" s="82">
        <v>425</v>
      </c>
      <c r="J151" s="47">
        <f t="shared" si="147"/>
        <v>1891.1</v>
      </c>
      <c r="K151" s="47"/>
      <c r="L151" s="47"/>
      <c r="M151" s="47">
        <f t="shared" si="148"/>
        <v>2174.8000000000002</v>
      </c>
      <c r="N151" s="47">
        <f t="shared" si="149"/>
        <v>-643.69879999999966</v>
      </c>
      <c r="O151" s="47">
        <v>964.9</v>
      </c>
      <c r="P151" s="82">
        <v>743.1</v>
      </c>
      <c r="Q151" s="82">
        <v>221.8</v>
      </c>
      <c r="R151" s="82"/>
      <c r="S151" s="48">
        <f t="shared" si="150"/>
        <v>964.9</v>
      </c>
      <c r="T151" s="82"/>
      <c r="U151" s="82"/>
      <c r="V151" s="110">
        <f t="shared" si="151"/>
        <v>0</v>
      </c>
      <c r="W151" s="51">
        <v>4</v>
      </c>
      <c r="X151" s="52">
        <v>7.5</v>
      </c>
      <c r="Y151" s="52">
        <v>3</v>
      </c>
      <c r="Z151" s="52"/>
      <c r="AA151" s="52"/>
      <c r="AB151" s="53">
        <f t="shared" si="152"/>
        <v>-1</v>
      </c>
      <c r="AC151" s="87">
        <f t="shared" si="77"/>
        <v>3</v>
      </c>
      <c r="AD151" s="54">
        <f t="shared" si="78"/>
        <v>-1</v>
      </c>
    </row>
    <row r="152" spans="1:30" ht="15.75" x14ac:dyDescent="0.25">
      <c r="A152" s="92"/>
      <c r="B152" s="160"/>
      <c r="C152" s="162" t="s">
        <v>154</v>
      </c>
      <c r="D152" s="44">
        <v>1.784</v>
      </c>
      <c r="E152" s="45">
        <v>2037.1</v>
      </c>
      <c r="F152" s="45">
        <f t="shared" si="132"/>
        <v>3634.1864</v>
      </c>
      <c r="G152" s="82">
        <v>3634.2</v>
      </c>
      <c r="H152" s="82">
        <v>2228.8000000000002</v>
      </c>
      <c r="I152" s="82">
        <v>666.1</v>
      </c>
      <c r="J152" s="47">
        <f t="shared" si="147"/>
        <v>2894.9</v>
      </c>
      <c r="K152" s="47"/>
      <c r="L152" s="47"/>
      <c r="M152" s="47">
        <f t="shared" si="148"/>
        <v>3634.2</v>
      </c>
      <c r="N152" s="47">
        <f t="shared" si="149"/>
        <v>1.3599999999769352E-2</v>
      </c>
      <c r="O152" s="47">
        <v>1662</v>
      </c>
      <c r="P152" s="82">
        <v>1298.5</v>
      </c>
      <c r="Q152" s="82">
        <v>363.5</v>
      </c>
      <c r="R152" s="82"/>
      <c r="S152" s="48">
        <f t="shared" si="150"/>
        <v>1662</v>
      </c>
      <c r="T152" s="82"/>
      <c r="U152" s="82"/>
      <c r="V152" s="110">
        <f t="shared" si="151"/>
        <v>0</v>
      </c>
      <c r="W152" s="83">
        <v>5</v>
      </c>
      <c r="X152" s="52">
        <v>12</v>
      </c>
      <c r="Y152" s="52">
        <v>5</v>
      </c>
      <c r="Z152" s="52"/>
      <c r="AA152" s="52"/>
      <c r="AB152" s="53">
        <f t="shared" si="152"/>
        <v>0</v>
      </c>
      <c r="AC152" s="87">
        <f t="shared" si="77"/>
        <v>5</v>
      </c>
      <c r="AD152" s="54">
        <f t="shared" si="78"/>
        <v>0</v>
      </c>
    </row>
    <row r="153" spans="1:30" ht="15.75" x14ac:dyDescent="0.25">
      <c r="A153" s="92"/>
      <c r="B153" s="160"/>
      <c r="C153" s="161" t="s">
        <v>155</v>
      </c>
      <c r="D153" s="44">
        <v>1.143</v>
      </c>
      <c r="E153" s="45">
        <v>1879.3</v>
      </c>
      <c r="F153" s="45">
        <v>2148</v>
      </c>
      <c r="G153" s="82">
        <v>2030.2</v>
      </c>
      <c r="H153" s="82">
        <v>1637.8</v>
      </c>
      <c r="I153" s="82">
        <v>545.20000000000005</v>
      </c>
      <c r="J153" s="47">
        <f t="shared" si="147"/>
        <v>2183</v>
      </c>
      <c r="K153" s="47"/>
      <c r="L153" s="47"/>
      <c r="M153" s="47">
        <f t="shared" si="148"/>
        <v>2030.2</v>
      </c>
      <c r="N153" s="47">
        <f t="shared" si="149"/>
        <v>-117.79999999999995</v>
      </c>
      <c r="O153" s="47">
        <v>1169</v>
      </c>
      <c r="P153" s="82">
        <v>852.3</v>
      </c>
      <c r="Q153" s="82">
        <v>316.7</v>
      </c>
      <c r="R153" s="82"/>
      <c r="S153" s="48">
        <f t="shared" si="150"/>
        <v>1169</v>
      </c>
      <c r="T153" s="82"/>
      <c r="U153" s="82"/>
      <c r="V153" s="110">
        <f t="shared" si="151"/>
        <v>0</v>
      </c>
      <c r="W153" s="51">
        <v>4</v>
      </c>
      <c r="X153" s="52">
        <v>7.5</v>
      </c>
      <c r="Y153" s="52">
        <v>3</v>
      </c>
      <c r="Z153" s="52"/>
      <c r="AA153" s="52"/>
      <c r="AB153" s="53">
        <f t="shared" si="152"/>
        <v>-1</v>
      </c>
      <c r="AC153" s="87">
        <f t="shared" ref="AC153:AC176" si="153">Y153+AA153</f>
        <v>3</v>
      </c>
      <c r="AD153" s="54">
        <f t="shared" ref="AD153:AD175" si="154">AC153-W153</f>
        <v>-1</v>
      </c>
    </row>
    <row r="154" spans="1:30" ht="15.75" x14ac:dyDescent="0.25">
      <c r="A154" s="92"/>
      <c r="B154" s="160"/>
      <c r="C154" s="127" t="s">
        <v>156</v>
      </c>
      <c r="D154" s="44">
        <v>2.113</v>
      </c>
      <c r="E154" s="45">
        <v>1776.4</v>
      </c>
      <c r="F154" s="45">
        <f t="shared" si="132"/>
        <v>3753.5332000000003</v>
      </c>
      <c r="G154" s="82">
        <v>3618</v>
      </c>
      <c r="H154" s="82">
        <v>2250.9</v>
      </c>
      <c r="I154" s="82">
        <v>684.9</v>
      </c>
      <c r="J154" s="47">
        <f t="shared" si="147"/>
        <v>2935.8</v>
      </c>
      <c r="K154" s="47"/>
      <c r="L154" s="47"/>
      <c r="M154" s="47">
        <f t="shared" si="148"/>
        <v>3618</v>
      </c>
      <c r="N154" s="47">
        <f t="shared" si="149"/>
        <v>-135.53320000000031</v>
      </c>
      <c r="O154" s="47">
        <v>2173.9</v>
      </c>
      <c r="P154" s="82">
        <v>1672.4</v>
      </c>
      <c r="Q154" s="82">
        <v>501.5</v>
      </c>
      <c r="R154" s="82"/>
      <c r="S154" s="48">
        <f t="shared" si="150"/>
        <v>2173.9</v>
      </c>
      <c r="T154" s="82"/>
      <c r="U154" s="82"/>
      <c r="V154" s="110">
        <f t="shared" si="151"/>
        <v>0</v>
      </c>
      <c r="W154" s="83">
        <v>5</v>
      </c>
      <c r="X154" s="52">
        <v>9</v>
      </c>
      <c r="Y154" s="52">
        <v>5</v>
      </c>
      <c r="Z154" s="52"/>
      <c r="AA154" s="52"/>
      <c r="AB154" s="53">
        <f t="shared" si="152"/>
        <v>0</v>
      </c>
      <c r="AC154" s="87">
        <f t="shared" si="153"/>
        <v>5</v>
      </c>
      <c r="AD154" s="54">
        <f t="shared" si="154"/>
        <v>0</v>
      </c>
    </row>
    <row r="155" spans="1:30" ht="14.25" customHeight="1" thickBot="1" x14ac:dyDescent="0.3">
      <c r="A155" s="92"/>
      <c r="B155" s="163"/>
      <c r="C155" s="66" t="s">
        <v>65</v>
      </c>
      <c r="D155" s="112">
        <f t="shared" ref="D155" si="155">ROUND(SUM(D149:D154),3)</f>
        <v>10.647</v>
      </c>
      <c r="E155" s="59"/>
      <c r="F155" s="59"/>
      <c r="G155" s="113">
        <f t="shared" ref="G155:V155" si="156">ROUND(SUM(G149:G154),3)</f>
        <v>18873.099999999999</v>
      </c>
      <c r="H155" s="113">
        <f t="shared" si="156"/>
        <v>12395.5</v>
      </c>
      <c r="I155" s="113">
        <f t="shared" si="156"/>
        <v>3758.3</v>
      </c>
      <c r="J155" s="113">
        <f t="shared" si="156"/>
        <v>16153.8</v>
      </c>
      <c r="K155" s="113">
        <f t="shared" si="156"/>
        <v>10</v>
      </c>
      <c r="L155" s="113">
        <f t="shared" si="156"/>
        <v>56.7</v>
      </c>
      <c r="M155" s="113">
        <f t="shared" si="156"/>
        <v>18929.8</v>
      </c>
      <c r="N155" s="61"/>
      <c r="O155" s="113">
        <f t="shared" ref="O155:S155" si="157">ROUND(SUM(O149:O154),3)</f>
        <v>10091.200000000001</v>
      </c>
      <c r="P155" s="113">
        <f t="shared" si="157"/>
        <v>7739.7</v>
      </c>
      <c r="Q155" s="113">
        <f t="shared" si="157"/>
        <v>2351.5</v>
      </c>
      <c r="R155" s="113">
        <f t="shared" si="157"/>
        <v>10</v>
      </c>
      <c r="S155" s="113">
        <f t="shared" si="157"/>
        <v>10101.200000000001</v>
      </c>
      <c r="T155" s="113">
        <f t="shared" si="156"/>
        <v>0</v>
      </c>
      <c r="U155" s="113">
        <f t="shared" si="156"/>
        <v>0</v>
      </c>
      <c r="V155" s="114">
        <f t="shared" si="156"/>
        <v>0</v>
      </c>
      <c r="W155" s="115"/>
      <c r="X155" s="113">
        <f t="shared" ref="X155:AA155" si="158">ROUND(SUM(X149:X154),3)</f>
        <v>58</v>
      </c>
      <c r="Y155" s="113">
        <f t="shared" si="158"/>
        <v>23.9</v>
      </c>
      <c r="Z155" s="113">
        <f t="shared" si="158"/>
        <v>0.1</v>
      </c>
      <c r="AA155" s="113">
        <f t="shared" si="158"/>
        <v>0.1</v>
      </c>
      <c r="AB155" s="66"/>
      <c r="AC155" s="116">
        <f t="shared" si="153"/>
        <v>24</v>
      </c>
      <c r="AD155" s="68"/>
    </row>
    <row r="156" spans="1:30" ht="15.75" x14ac:dyDescent="0.25">
      <c r="A156" s="92"/>
      <c r="B156" s="104" t="s">
        <v>55</v>
      </c>
      <c r="C156" s="37" t="s">
        <v>157</v>
      </c>
      <c r="D156" s="70">
        <v>3.5089999999999999</v>
      </c>
      <c r="E156" s="71">
        <v>1405.1</v>
      </c>
      <c r="F156" s="71">
        <f t="shared" si="132"/>
        <v>4930.4958999999999</v>
      </c>
      <c r="G156" s="105">
        <v>4638.8999999999996</v>
      </c>
      <c r="H156" s="105">
        <v>3147.2</v>
      </c>
      <c r="I156" s="105">
        <v>950.5</v>
      </c>
      <c r="J156" s="73">
        <f t="shared" ref="J156:J162" si="159">H156+I156</f>
        <v>4097.7</v>
      </c>
      <c r="K156" s="73"/>
      <c r="L156" s="73"/>
      <c r="M156" s="73">
        <f t="shared" ref="M156:M163" si="160">G156+L156</f>
        <v>4638.8999999999996</v>
      </c>
      <c r="N156" s="73">
        <f t="shared" ref="N156:N163" si="161">M156-F156</f>
        <v>-291.59590000000026</v>
      </c>
      <c r="O156" s="73">
        <v>2233.1999999999998</v>
      </c>
      <c r="P156" s="105">
        <v>1715.2</v>
      </c>
      <c r="Q156" s="105">
        <v>518</v>
      </c>
      <c r="R156" s="105"/>
      <c r="S156" s="74">
        <f t="shared" ref="S156:S163" si="162">O156+R156</f>
        <v>2233.1999999999998</v>
      </c>
      <c r="T156" s="105"/>
      <c r="U156" s="105"/>
      <c r="V156" s="106">
        <f t="shared" ref="V156:V163" si="163">T156+U156</f>
        <v>0</v>
      </c>
      <c r="W156" s="77">
        <v>6</v>
      </c>
      <c r="X156" s="37">
        <v>10.5</v>
      </c>
      <c r="Y156" s="37">
        <v>5</v>
      </c>
      <c r="Z156" s="37"/>
      <c r="AA156" s="37"/>
      <c r="AB156" s="78">
        <f t="shared" ref="AB156:AB163" si="164">(Y156+AA156)-W156</f>
        <v>-1</v>
      </c>
      <c r="AC156" s="107">
        <f t="shared" si="153"/>
        <v>5</v>
      </c>
      <c r="AD156" s="79">
        <f t="shared" si="154"/>
        <v>-1</v>
      </c>
    </row>
    <row r="157" spans="1:30" ht="15.75" x14ac:dyDescent="0.25">
      <c r="A157" s="92"/>
      <c r="B157" s="108"/>
      <c r="C157" s="150" t="s">
        <v>158</v>
      </c>
      <c r="D157" s="44">
        <v>1.712</v>
      </c>
      <c r="E157" s="45">
        <v>1780.5</v>
      </c>
      <c r="F157" s="45">
        <f t="shared" si="132"/>
        <v>3048.2159999999999</v>
      </c>
      <c r="G157" s="82">
        <v>2803.5</v>
      </c>
      <c r="H157" s="82">
        <v>1811.5</v>
      </c>
      <c r="I157" s="82">
        <v>492.5</v>
      </c>
      <c r="J157" s="47">
        <f t="shared" si="159"/>
        <v>2304</v>
      </c>
      <c r="K157" s="47"/>
      <c r="L157" s="47"/>
      <c r="M157" s="47">
        <f t="shared" si="160"/>
        <v>2803.5</v>
      </c>
      <c r="N157" s="47">
        <f t="shared" si="161"/>
        <v>-244.71599999999989</v>
      </c>
      <c r="O157" s="47">
        <v>1958.8</v>
      </c>
      <c r="P157" s="82">
        <v>1504.4</v>
      </c>
      <c r="Q157" s="82">
        <v>454.3</v>
      </c>
      <c r="R157" s="82"/>
      <c r="S157" s="48">
        <f t="shared" si="162"/>
        <v>1958.8</v>
      </c>
      <c r="T157" s="82"/>
      <c r="U157" s="82"/>
      <c r="V157" s="110">
        <f t="shared" si="163"/>
        <v>0</v>
      </c>
      <c r="W157" s="51">
        <v>5</v>
      </c>
      <c r="X157" s="52">
        <v>6</v>
      </c>
      <c r="Y157" s="52">
        <v>5</v>
      </c>
      <c r="Z157" s="52"/>
      <c r="AA157" s="52"/>
      <c r="AB157" s="53">
        <f t="shared" si="164"/>
        <v>0</v>
      </c>
      <c r="AC157" s="87">
        <f t="shared" si="153"/>
        <v>5</v>
      </c>
      <c r="AD157" s="54">
        <f t="shared" si="154"/>
        <v>0</v>
      </c>
    </row>
    <row r="158" spans="1:30" ht="15.75" x14ac:dyDescent="0.25">
      <c r="A158" s="92"/>
      <c r="B158" s="108"/>
      <c r="C158" s="82" t="s">
        <v>159</v>
      </c>
      <c r="D158" s="44">
        <v>2.3650000000000002</v>
      </c>
      <c r="E158" s="45">
        <v>1674.6</v>
      </c>
      <c r="F158" s="45">
        <f t="shared" si="132"/>
        <v>3960.4290000000001</v>
      </c>
      <c r="G158" s="82">
        <v>3306.3</v>
      </c>
      <c r="H158" s="82">
        <v>2350.3000000000002</v>
      </c>
      <c r="I158" s="82">
        <v>709.8</v>
      </c>
      <c r="J158" s="47">
        <f t="shared" si="159"/>
        <v>3060.1000000000004</v>
      </c>
      <c r="K158" s="47"/>
      <c r="L158" s="47"/>
      <c r="M158" s="47">
        <f t="shared" si="160"/>
        <v>3306.3</v>
      </c>
      <c r="N158" s="47">
        <f t="shared" si="161"/>
        <v>-654.12899999999991</v>
      </c>
      <c r="O158" s="47">
        <v>2233.1</v>
      </c>
      <c r="P158" s="82">
        <v>1718.8</v>
      </c>
      <c r="Q158" s="82">
        <v>519.1</v>
      </c>
      <c r="R158" s="82"/>
      <c r="S158" s="48">
        <f t="shared" si="162"/>
        <v>2233.1</v>
      </c>
      <c r="T158" s="82"/>
      <c r="U158" s="82"/>
      <c r="V158" s="110">
        <f t="shared" si="163"/>
        <v>0</v>
      </c>
      <c r="W158" s="51">
        <v>5</v>
      </c>
      <c r="X158" s="52">
        <v>9.5</v>
      </c>
      <c r="Y158" s="52">
        <v>5</v>
      </c>
      <c r="Z158" s="52"/>
      <c r="AA158" s="52"/>
      <c r="AB158" s="53">
        <f t="shared" si="164"/>
        <v>0</v>
      </c>
      <c r="AC158" s="87">
        <f t="shared" si="153"/>
        <v>5</v>
      </c>
      <c r="AD158" s="54">
        <f t="shared" si="154"/>
        <v>0</v>
      </c>
    </row>
    <row r="159" spans="1:30" ht="15.75" x14ac:dyDescent="0.25">
      <c r="A159" s="92"/>
      <c r="B159" s="108"/>
      <c r="C159" s="82" t="s">
        <v>160</v>
      </c>
      <c r="D159" s="44">
        <v>1.867</v>
      </c>
      <c r="E159" s="45">
        <v>1867.6</v>
      </c>
      <c r="F159" s="45">
        <f t="shared" si="132"/>
        <v>3486.8091999999997</v>
      </c>
      <c r="G159" s="82">
        <v>3335.6</v>
      </c>
      <c r="H159" s="82">
        <v>2014</v>
      </c>
      <c r="I159" s="82">
        <v>604.70000000000005</v>
      </c>
      <c r="J159" s="47">
        <f t="shared" si="159"/>
        <v>2618.6999999999998</v>
      </c>
      <c r="K159" s="47"/>
      <c r="L159" s="47"/>
      <c r="M159" s="47">
        <f t="shared" si="160"/>
        <v>3335.6</v>
      </c>
      <c r="N159" s="47">
        <f t="shared" si="161"/>
        <v>-151.20919999999978</v>
      </c>
      <c r="O159" s="47">
        <v>1214.4000000000001</v>
      </c>
      <c r="P159" s="82">
        <v>932.7</v>
      </c>
      <c r="Q159" s="82">
        <v>281.7</v>
      </c>
      <c r="R159" s="82"/>
      <c r="S159" s="48">
        <f t="shared" si="162"/>
        <v>1214.4000000000001</v>
      </c>
      <c r="T159" s="82"/>
      <c r="U159" s="82"/>
      <c r="V159" s="110">
        <f t="shared" si="163"/>
        <v>0</v>
      </c>
      <c r="W159" s="51">
        <v>5</v>
      </c>
      <c r="X159" s="52">
        <v>8</v>
      </c>
      <c r="Y159" s="52">
        <v>3</v>
      </c>
      <c r="Z159" s="52"/>
      <c r="AA159" s="52"/>
      <c r="AB159" s="53">
        <f t="shared" si="164"/>
        <v>-2</v>
      </c>
      <c r="AC159" s="87">
        <f t="shared" si="153"/>
        <v>3</v>
      </c>
      <c r="AD159" s="54">
        <f t="shared" si="154"/>
        <v>-2</v>
      </c>
    </row>
    <row r="160" spans="1:30" ht="15.75" x14ac:dyDescent="0.25">
      <c r="A160" s="92"/>
      <c r="B160" s="108"/>
      <c r="C160" s="82" t="s">
        <v>161</v>
      </c>
      <c r="D160" s="44">
        <v>3.3130000000000002</v>
      </c>
      <c r="E160" s="45">
        <v>1319.9</v>
      </c>
      <c r="F160" s="45">
        <f t="shared" si="132"/>
        <v>4372.8287000000009</v>
      </c>
      <c r="G160" s="82">
        <v>4372.5</v>
      </c>
      <c r="H160" s="82">
        <v>2751</v>
      </c>
      <c r="I160" s="82">
        <v>851.7</v>
      </c>
      <c r="J160" s="47">
        <f t="shared" si="159"/>
        <v>3602.7</v>
      </c>
      <c r="K160" s="47"/>
      <c r="L160" s="47"/>
      <c r="M160" s="47">
        <f t="shared" si="160"/>
        <v>4372.5</v>
      </c>
      <c r="N160" s="47">
        <f t="shared" si="161"/>
        <v>-0.32870000000093569</v>
      </c>
      <c r="O160" s="47">
        <v>1832.7</v>
      </c>
      <c r="P160" s="82">
        <v>1407.6</v>
      </c>
      <c r="Q160" s="82">
        <v>425.1</v>
      </c>
      <c r="R160" s="82"/>
      <c r="S160" s="48">
        <f t="shared" si="162"/>
        <v>1832.7</v>
      </c>
      <c r="T160" s="82"/>
      <c r="U160" s="82"/>
      <c r="V160" s="110">
        <f t="shared" si="163"/>
        <v>0</v>
      </c>
      <c r="W160" s="51">
        <v>5</v>
      </c>
      <c r="X160" s="52">
        <v>8</v>
      </c>
      <c r="Y160" s="52">
        <v>4</v>
      </c>
      <c r="Z160" s="52"/>
      <c r="AA160" s="52"/>
      <c r="AB160" s="53">
        <f t="shared" si="164"/>
        <v>-1</v>
      </c>
      <c r="AC160" s="87">
        <f t="shared" si="153"/>
        <v>4</v>
      </c>
      <c r="AD160" s="54">
        <f t="shared" si="154"/>
        <v>-1</v>
      </c>
    </row>
    <row r="161" spans="1:30" ht="15.75" x14ac:dyDescent="0.25">
      <c r="A161" s="92"/>
      <c r="B161" s="108"/>
      <c r="C161" s="82" t="s">
        <v>162</v>
      </c>
      <c r="D161" s="44">
        <v>3.476</v>
      </c>
      <c r="E161" s="45">
        <v>1435.9</v>
      </c>
      <c r="F161" s="45">
        <f t="shared" si="132"/>
        <v>4991.1884</v>
      </c>
      <c r="G161" s="82">
        <v>4990.8999999999996</v>
      </c>
      <c r="H161" s="82">
        <v>3113</v>
      </c>
      <c r="I161" s="82">
        <v>929.3</v>
      </c>
      <c r="J161" s="47">
        <f t="shared" si="159"/>
        <v>4042.3</v>
      </c>
      <c r="K161" s="47"/>
      <c r="L161" s="47"/>
      <c r="M161" s="47">
        <f t="shared" si="160"/>
        <v>4990.8999999999996</v>
      </c>
      <c r="N161" s="47">
        <f t="shared" si="161"/>
        <v>-0.28840000000036525</v>
      </c>
      <c r="O161" s="47">
        <v>2636.4</v>
      </c>
      <c r="P161" s="82">
        <v>2024.8</v>
      </c>
      <c r="Q161" s="82">
        <v>611.5</v>
      </c>
      <c r="R161" s="82"/>
      <c r="S161" s="48">
        <f t="shared" si="162"/>
        <v>2636.4</v>
      </c>
      <c r="T161" s="82"/>
      <c r="U161" s="82"/>
      <c r="V161" s="110">
        <f t="shared" si="163"/>
        <v>0</v>
      </c>
      <c r="W161" s="51">
        <v>5</v>
      </c>
      <c r="X161" s="52">
        <v>11</v>
      </c>
      <c r="Y161" s="52">
        <v>5</v>
      </c>
      <c r="Z161" s="52"/>
      <c r="AA161" s="52"/>
      <c r="AB161" s="53">
        <f t="shared" si="164"/>
        <v>0</v>
      </c>
      <c r="AC161" s="87">
        <f t="shared" si="153"/>
        <v>5</v>
      </c>
      <c r="AD161" s="54">
        <f t="shared" si="154"/>
        <v>0</v>
      </c>
    </row>
    <row r="162" spans="1:30" ht="15.75" x14ac:dyDescent="0.25">
      <c r="A162" s="92"/>
      <c r="B162" s="108"/>
      <c r="C162" s="82" t="s">
        <v>163</v>
      </c>
      <c r="D162" s="44">
        <v>1.633</v>
      </c>
      <c r="E162" s="45">
        <v>1466.9</v>
      </c>
      <c r="F162" s="45">
        <f t="shared" si="132"/>
        <v>2395.4477000000002</v>
      </c>
      <c r="G162" s="82">
        <v>2316.6999999999998</v>
      </c>
      <c r="H162" s="82">
        <v>1532.3</v>
      </c>
      <c r="I162" s="82">
        <v>456.9</v>
      </c>
      <c r="J162" s="47">
        <f t="shared" si="159"/>
        <v>1989.1999999999998</v>
      </c>
      <c r="K162" s="47"/>
      <c r="L162" s="47"/>
      <c r="M162" s="47">
        <f t="shared" si="160"/>
        <v>2316.6999999999998</v>
      </c>
      <c r="N162" s="47">
        <f t="shared" si="161"/>
        <v>-78.74770000000035</v>
      </c>
      <c r="O162" s="47">
        <v>1508.7</v>
      </c>
      <c r="P162" s="82">
        <v>1161.4000000000001</v>
      </c>
      <c r="Q162" s="82">
        <v>347.3</v>
      </c>
      <c r="R162" s="82"/>
      <c r="S162" s="48">
        <f t="shared" si="162"/>
        <v>1508.7</v>
      </c>
      <c r="T162" s="82"/>
      <c r="U162" s="82"/>
      <c r="V162" s="110">
        <f t="shared" si="163"/>
        <v>0</v>
      </c>
      <c r="W162" s="51">
        <v>4</v>
      </c>
      <c r="X162" s="52">
        <v>6</v>
      </c>
      <c r="Y162" s="52">
        <v>4</v>
      </c>
      <c r="Z162" s="52"/>
      <c r="AA162" s="52"/>
      <c r="AB162" s="53">
        <f t="shared" si="164"/>
        <v>0</v>
      </c>
      <c r="AC162" s="87">
        <f t="shared" si="153"/>
        <v>4</v>
      </c>
      <c r="AD162" s="54">
        <f t="shared" si="154"/>
        <v>0</v>
      </c>
    </row>
    <row r="163" spans="1:30" ht="15.75" x14ac:dyDescent="0.25">
      <c r="A163" s="92"/>
      <c r="B163" s="108"/>
      <c r="C163" s="82" t="s">
        <v>164</v>
      </c>
      <c r="D163" s="44">
        <v>3.4580000000000002</v>
      </c>
      <c r="E163" s="45">
        <v>1435.4</v>
      </c>
      <c r="F163" s="45">
        <f t="shared" si="132"/>
        <v>4963.6132000000007</v>
      </c>
      <c r="G163" s="82">
        <v>4963.6000000000004</v>
      </c>
      <c r="H163" s="82">
        <v>3242.5</v>
      </c>
      <c r="I163" s="82">
        <v>979.2</v>
      </c>
      <c r="J163" s="47">
        <v>3055.5</v>
      </c>
      <c r="K163" s="47"/>
      <c r="L163" s="47"/>
      <c r="M163" s="47">
        <f t="shared" si="160"/>
        <v>4963.6000000000004</v>
      </c>
      <c r="N163" s="47">
        <f t="shared" si="161"/>
        <v>-1.3200000000324508E-2</v>
      </c>
      <c r="O163" s="47">
        <v>2977.3</v>
      </c>
      <c r="P163" s="82">
        <v>2286.6999999999998</v>
      </c>
      <c r="Q163" s="82">
        <v>690.6</v>
      </c>
      <c r="R163" s="82"/>
      <c r="S163" s="48">
        <f t="shared" si="162"/>
        <v>2977.3</v>
      </c>
      <c r="T163" s="82"/>
      <c r="U163" s="82"/>
      <c r="V163" s="110">
        <f t="shared" si="163"/>
        <v>0</v>
      </c>
      <c r="W163" s="51">
        <v>5</v>
      </c>
      <c r="X163" s="52">
        <v>13</v>
      </c>
      <c r="Y163" s="52">
        <v>5</v>
      </c>
      <c r="Z163" s="52"/>
      <c r="AA163" s="52"/>
      <c r="AB163" s="53">
        <f t="shared" si="164"/>
        <v>0</v>
      </c>
      <c r="AC163" s="87">
        <f t="shared" si="153"/>
        <v>5</v>
      </c>
      <c r="AD163" s="54">
        <f t="shared" si="154"/>
        <v>0</v>
      </c>
    </row>
    <row r="164" spans="1:30" ht="16.5" thickBot="1" x14ac:dyDescent="0.3">
      <c r="A164" s="92"/>
      <c r="B164" s="111"/>
      <c r="C164" s="66" t="s">
        <v>65</v>
      </c>
      <c r="D164" s="112">
        <f t="shared" ref="D164" si="165">ROUND(SUM(D156:D163),3)</f>
        <v>21.332999999999998</v>
      </c>
      <c r="E164" s="59"/>
      <c r="F164" s="59"/>
      <c r="G164" s="113">
        <f t="shared" ref="G164:V164" si="166">ROUND(SUM(G156:G163),3)</f>
        <v>30728</v>
      </c>
      <c r="H164" s="113">
        <f t="shared" si="166"/>
        <v>19961.8</v>
      </c>
      <c r="I164" s="113">
        <f t="shared" si="166"/>
        <v>5974.6</v>
      </c>
      <c r="J164" s="113">
        <f t="shared" si="166"/>
        <v>24770.2</v>
      </c>
      <c r="K164" s="113">
        <f t="shared" si="166"/>
        <v>0</v>
      </c>
      <c r="L164" s="113">
        <f t="shared" si="166"/>
        <v>0</v>
      </c>
      <c r="M164" s="113">
        <f t="shared" si="166"/>
        <v>30728</v>
      </c>
      <c r="N164" s="61"/>
      <c r="O164" s="113">
        <f t="shared" ref="O164:S164" si="167">ROUND(SUM(O156:O163),3)</f>
        <v>16594.599999999999</v>
      </c>
      <c r="P164" s="113">
        <f t="shared" si="167"/>
        <v>12751.6</v>
      </c>
      <c r="Q164" s="113">
        <f t="shared" si="167"/>
        <v>3847.6</v>
      </c>
      <c r="R164" s="113">
        <f t="shared" si="167"/>
        <v>0</v>
      </c>
      <c r="S164" s="113">
        <f t="shared" si="167"/>
        <v>16594.599999999999</v>
      </c>
      <c r="T164" s="113">
        <f t="shared" si="166"/>
        <v>0</v>
      </c>
      <c r="U164" s="113">
        <f t="shared" si="166"/>
        <v>0</v>
      </c>
      <c r="V164" s="114">
        <f t="shared" si="166"/>
        <v>0</v>
      </c>
      <c r="W164" s="115"/>
      <c r="X164" s="113">
        <f t="shared" ref="X164:AA164" si="168">ROUND(SUM(X156:X163),3)</f>
        <v>72</v>
      </c>
      <c r="Y164" s="113">
        <f t="shared" si="168"/>
        <v>36</v>
      </c>
      <c r="Z164" s="113">
        <f t="shared" si="168"/>
        <v>0</v>
      </c>
      <c r="AA164" s="113">
        <f t="shared" si="168"/>
        <v>0</v>
      </c>
      <c r="AB164" s="66"/>
      <c r="AC164" s="116">
        <f t="shared" si="153"/>
        <v>36</v>
      </c>
      <c r="AD164" s="68"/>
    </row>
    <row r="165" spans="1:30" ht="15.75" x14ac:dyDescent="0.25">
      <c r="A165" s="92"/>
      <c r="B165" s="104" t="s">
        <v>56</v>
      </c>
      <c r="C165" s="37" t="s">
        <v>165</v>
      </c>
      <c r="D165" s="70">
        <v>12.888</v>
      </c>
      <c r="E165" s="71">
        <v>193.9</v>
      </c>
      <c r="F165" s="71">
        <f t="shared" si="132"/>
        <v>2498.9832000000001</v>
      </c>
      <c r="G165" s="105">
        <v>2407.5</v>
      </c>
      <c r="H165" s="105">
        <v>1346.3</v>
      </c>
      <c r="I165" s="105">
        <v>405.6</v>
      </c>
      <c r="J165" s="73">
        <f>H165+I165</f>
        <v>1751.9</v>
      </c>
      <c r="K165" s="73"/>
      <c r="L165" s="73"/>
      <c r="M165" s="73">
        <f t="shared" ref="M165:M170" si="169">G165+L165</f>
        <v>2407.5</v>
      </c>
      <c r="N165" s="73">
        <f t="shared" ref="N165:N170" si="170">M165-F165</f>
        <v>-91.483200000000124</v>
      </c>
      <c r="O165" s="73">
        <v>1669.1</v>
      </c>
      <c r="P165" s="105">
        <v>1282.7</v>
      </c>
      <c r="Q165" s="105">
        <v>386.4</v>
      </c>
      <c r="R165" s="105"/>
      <c r="S165" s="74">
        <f t="shared" ref="S165:S170" si="171">O165+R165</f>
        <v>1669.1</v>
      </c>
      <c r="T165" s="105"/>
      <c r="U165" s="105"/>
      <c r="V165" s="106">
        <f t="shared" ref="V165:V170" si="172">T165+U165</f>
        <v>0</v>
      </c>
      <c r="W165" s="77">
        <v>4</v>
      </c>
      <c r="X165" s="37">
        <v>4</v>
      </c>
      <c r="Y165" s="37">
        <v>3.5</v>
      </c>
      <c r="Z165" s="37"/>
      <c r="AA165" s="37"/>
      <c r="AB165" s="78">
        <f t="shared" ref="AB165:AB170" si="173">(Y165+AA165)-W165</f>
        <v>-0.5</v>
      </c>
      <c r="AC165" s="107">
        <f t="shared" si="153"/>
        <v>3.5</v>
      </c>
      <c r="AD165" s="79">
        <f t="shared" si="154"/>
        <v>-0.5</v>
      </c>
    </row>
    <row r="166" spans="1:30" ht="15.75" x14ac:dyDescent="0.25">
      <c r="A166" s="92"/>
      <c r="B166" s="108"/>
      <c r="C166" s="127" t="s">
        <v>166</v>
      </c>
      <c r="D166" s="44">
        <v>0.61699999999999999</v>
      </c>
      <c r="E166" s="45">
        <v>2742</v>
      </c>
      <c r="F166" s="45">
        <f t="shared" si="132"/>
        <v>1691.8140000000001</v>
      </c>
      <c r="G166" s="82">
        <v>1406.2</v>
      </c>
      <c r="H166" s="82">
        <v>930.5</v>
      </c>
      <c r="I166" s="82">
        <v>282.39999999999998</v>
      </c>
      <c r="J166" s="47">
        <f t="shared" ref="J166:J170" si="174">H166+I166</f>
        <v>1212.9000000000001</v>
      </c>
      <c r="K166" s="47"/>
      <c r="L166" s="47">
        <v>30.5</v>
      </c>
      <c r="M166" s="47">
        <f t="shared" si="169"/>
        <v>1436.7</v>
      </c>
      <c r="N166" s="47">
        <f t="shared" si="170"/>
        <v>-255.11400000000003</v>
      </c>
      <c r="O166" s="47">
        <v>919.4</v>
      </c>
      <c r="P166" s="82">
        <v>705.5</v>
      </c>
      <c r="Q166" s="82">
        <v>213.9</v>
      </c>
      <c r="R166" s="82"/>
      <c r="S166" s="48">
        <f t="shared" si="171"/>
        <v>919.4</v>
      </c>
      <c r="T166" s="82"/>
      <c r="U166" s="82"/>
      <c r="V166" s="110">
        <f t="shared" si="172"/>
        <v>0</v>
      </c>
      <c r="W166" s="83">
        <v>5</v>
      </c>
      <c r="X166" s="52">
        <v>6.5</v>
      </c>
      <c r="Y166" s="52">
        <v>3</v>
      </c>
      <c r="Z166" s="52"/>
      <c r="AA166" s="52"/>
      <c r="AB166" s="53">
        <f t="shared" si="173"/>
        <v>-2</v>
      </c>
      <c r="AC166" s="87">
        <f t="shared" si="153"/>
        <v>3</v>
      </c>
      <c r="AD166" s="54">
        <f t="shared" si="154"/>
        <v>-2</v>
      </c>
    </row>
    <row r="167" spans="1:30" ht="15" customHeight="1" x14ac:dyDescent="0.25">
      <c r="A167" s="92"/>
      <c r="B167" s="108"/>
      <c r="C167" s="127" t="s">
        <v>167</v>
      </c>
      <c r="D167" s="44">
        <v>0.94499999999999995</v>
      </c>
      <c r="E167" s="45">
        <v>2137.1999999999998</v>
      </c>
      <c r="F167" s="45">
        <f t="shared" si="132"/>
        <v>2019.6539999999998</v>
      </c>
      <c r="G167" s="82">
        <v>1890.5</v>
      </c>
      <c r="H167" s="82">
        <v>1323.7</v>
      </c>
      <c r="I167" s="82">
        <v>392.7</v>
      </c>
      <c r="J167" s="47">
        <f t="shared" si="174"/>
        <v>1716.4</v>
      </c>
      <c r="K167" s="47"/>
      <c r="L167" s="47">
        <v>30.5</v>
      </c>
      <c r="M167" s="47">
        <f t="shared" si="169"/>
        <v>1921</v>
      </c>
      <c r="N167" s="47">
        <f t="shared" si="170"/>
        <v>-98.653999999999769</v>
      </c>
      <c r="O167" s="47">
        <v>979.9</v>
      </c>
      <c r="P167" s="82">
        <v>756.2</v>
      </c>
      <c r="Q167" s="82">
        <v>223.7</v>
      </c>
      <c r="R167" s="82"/>
      <c r="S167" s="48">
        <f t="shared" si="171"/>
        <v>979.9</v>
      </c>
      <c r="T167" s="82"/>
      <c r="U167" s="82"/>
      <c r="V167" s="110">
        <f t="shared" si="172"/>
        <v>0</v>
      </c>
      <c r="W167" s="51">
        <v>5</v>
      </c>
      <c r="X167" s="52">
        <v>5.5</v>
      </c>
      <c r="Y167" s="52">
        <v>3</v>
      </c>
      <c r="Z167" s="52"/>
      <c r="AA167" s="52"/>
      <c r="AB167" s="53">
        <f t="shared" si="173"/>
        <v>-2</v>
      </c>
      <c r="AC167" s="87">
        <f t="shared" si="153"/>
        <v>3</v>
      </c>
      <c r="AD167" s="54">
        <f t="shared" si="154"/>
        <v>-2</v>
      </c>
    </row>
    <row r="168" spans="1:30" ht="15.75" x14ac:dyDescent="0.25">
      <c r="A168" s="92"/>
      <c r="B168" s="108"/>
      <c r="C168" s="82" t="s">
        <v>168</v>
      </c>
      <c r="D168" s="44">
        <v>6.0220000000000002</v>
      </c>
      <c r="E168" s="45">
        <v>847.7</v>
      </c>
      <c r="F168" s="45">
        <f t="shared" si="132"/>
        <v>5104.8494000000001</v>
      </c>
      <c r="G168" s="82">
        <v>4689.3</v>
      </c>
      <c r="H168" s="82">
        <v>3638.7</v>
      </c>
      <c r="I168" s="82">
        <v>961</v>
      </c>
      <c r="J168" s="47">
        <f t="shared" si="174"/>
        <v>4599.7</v>
      </c>
      <c r="K168" s="47">
        <f>107.7+32.5</f>
        <v>140.19999999999999</v>
      </c>
      <c r="L168" s="47">
        <v>146.19999999999999</v>
      </c>
      <c r="M168" s="47">
        <f t="shared" si="169"/>
        <v>4835.5</v>
      </c>
      <c r="N168" s="47">
        <f t="shared" si="170"/>
        <v>-269.34940000000006</v>
      </c>
      <c r="O168" s="47">
        <v>2143.4</v>
      </c>
      <c r="P168" s="82">
        <v>1698.5</v>
      </c>
      <c r="Q168" s="82">
        <v>444.9</v>
      </c>
      <c r="R168" s="82"/>
      <c r="S168" s="48">
        <f t="shared" si="171"/>
        <v>2143.4</v>
      </c>
      <c r="T168" s="82"/>
      <c r="U168" s="82"/>
      <c r="V168" s="110">
        <f t="shared" si="172"/>
        <v>0</v>
      </c>
      <c r="W168" s="51">
        <v>5</v>
      </c>
      <c r="X168" s="52">
        <v>11</v>
      </c>
      <c r="Y168" s="52">
        <v>4</v>
      </c>
      <c r="Z168" s="52">
        <v>0.5</v>
      </c>
      <c r="AA168" s="52"/>
      <c r="AB168" s="53">
        <f t="shared" si="173"/>
        <v>-1</v>
      </c>
      <c r="AC168" s="87">
        <f t="shared" si="153"/>
        <v>4</v>
      </c>
      <c r="AD168" s="54">
        <f t="shared" si="154"/>
        <v>-1</v>
      </c>
    </row>
    <row r="169" spans="1:30" ht="15.75" x14ac:dyDescent="0.25">
      <c r="A169" s="92"/>
      <c r="B169" s="108"/>
      <c r="C169" s="82" t="s">
        <v>169</v>
      </c>
      <c r="D169" s="44">
        <v>1.327</v>
      </c>
      <c r="E169" s="45">
        <v>1863.7</v>
      </c>
      <c r="F169" s="45">
        <f t="shared" si="132"/>
        <v>2473.1298999999999</v>
      </c>
      <c r="G169" s="82">
        <v>2377.4</v>
      </c>
      <c r="H169" s="82">
        <v>1572.1</v>
      </c>
      <c r="I169" s="82">
        <v>467.1</v>
      </c>
      <c r="J169" s="47">
        <f t="shared" si="174"/>
        <v>2039.1999999999998</v>
      </c>
      <c r="K169" s="47"/>
      <c r="L169" s="47">
        <v>30.5</v>
      </c>
      <c r="M169" s="47">
        <f t="shared" si="169"/>
        <v>2407.9</v>
      </c>
      <c r="N169" s="47">
        <f t="shared" si="170"/>
        <v>-65.229899999999816</v>
      </c>
      <c r="O169" s="47">
        <v>1329.1</v>
      </c>
      <c r="P169" s="82">
        <v>1024</v>
      </c>
      <c r="Q169" s="82">
        <v>305.10000000000002</v>
      </c>
      <c r="R169" s="82"/>
      <c r="S169" s="48">
        <f t="shared" si="171"/>
        <v>1329.1</v>
      </c>
      <c r="T169" s="82"/>
      <c r="U169" s="82"/>
      <c r="V169" s="110">
        <f t="shared" si="172"/>
        <v>0</v>
      </c>
      <c r="W169" s="51">
        <v>4</v>
      </c>
      <c r="X169" s="52">
        <v>8</v>
      </c>
      <c r="Y169" s="52">
        <v>4</v>
      </c>
      <c r="Z169" s="52"/>
      <c r="AA169" s="52"/>
      <c r="AB169" s="53">
        <f t="shared" si="173"/>
        <v>0</v>
      </c>
      <c r="AC169" s="87">
        <f t="shared" si="153"/>
        <v>4</v>
      </c>
      <c r="AD169" s="54">
        <f t="shared" si="154"/>
        <v>0</v>
      </c>
    </row>
    <row r="170" spans="1:30" ht="15.75" x14ac:dyDescent="0.25">
      <c r="A170" s="92"/>
      <c r="B170" s="108"/>
      <c r="C170" s="150" t="s">
        <v>170</v>
      </c>
      <c r="D170" s="44">
        <v>0.747</v>
      </c>
      <c r="E170" s="45">
        <v>2357.8000000000002</v>
      </c>
      <c r="F170" s="45">
        <f t="shared" si="132"/>
        <v>1761.2766000000001</v>
      </c>
      <c r="G170" s="82">
        <v>1730.8</v>
      </c>
      <c r="H170" s="82">
        <v>1168.8</v>
      </c>
      <c r="I170" s="82">
        <v>345.8</v>
      </c>
      <c r="J170" s="47">
        <f t="shared" si="174"/>
        <v>1514.6</v>
      </c>
      <c r="K170" s="47"/>
      <c r="L170" s="47">
        <v>30.5</v>
      </c>
      <c r="M170" s="47">
        <f t="shared" si="169"/>
        <v>1761.3</v>
      </c>
      <c r="N170" s="47">
        <f t="shared" si="170"/>
        <v>2.3399999999810461E-2</v>
      </c>
      <c r="O170" s="47">
        <v>804.6</v>
      </c>
      <c r="P170" s="82">
        <v>620.70000000000005</v>
      </c>
      <c r="Q170" s="82">
        <v>183.9</v>
      </c>
      <c r="R170" s="82"/>
      <c r="S170" s="48">
        <f t="shared" si="171"/>
        <v>804.6</v>
      </c>
      <c r="T170" s="82"/>
      <c r="U170" s="82"/>
      <c r="V170" s="110">
        <f t="shared" si="172"/>
        <v>0</v>
      </c>
      <c r="W170" s="51">
        <v>3</v>
      </c>
      <c r="X170" s="52">
        <v>7</v>
      </c>
      <c r="Y170" s="52">
        <v>2</v>
      </c>
      <c r="Z170" s="52"/>
      <c r="AA170" s="52"/>
      <c r="AB170" s="53">
        <f t="shared" si="173"/>
        <v>-1</v>
      </c>
      <c r="AC170" s="87">
        <f t="shared" si="153"/>
        <v>2</v>
      </c>
      <c r="AD170" s="54">
        <f t="shared" si="154"/>
        <v>-1</v>
      </c>
    </row>
    <row r="171" spans="1:30" ht="16.5" thickBot="1" x14ac:dyDescent="0.3">
      <c r="A171" s="92"/>
      <c r="B171" s="111"/>
      <c r="C171" s="66" t="s">
        <v>65</v>
      </c>
      <c r="D171" s="112">
        <f>ROUND(SUM(D165:D170),3)</f>
        <v>22.545999999999999</v>
      </c>
      <c r="E171" s="59"/>
      <c r="F171" s="59"/>
      <c r="G171" s="113">
        <f t="shared" ref="G171:M171" si="175">ROUND(SUM(G165:G170),3)</f>
        <v>14501.7</v>
      </c>
      <c r="H171" s="113">
        <f t="shared" si="175"/>
        <v>9980.1</v>
      </c>
      <c r="I171" s="113">
        <f t="shared" si="175"/>
        <v>2854.6</v>
      </c>
      <c r="J171" s="113">
        <f t="shared" si="175"/>
        <v>12834.7</v>
      </c>
      <c r="K171" s="113">
        <f t="shared" si="175"/>
        <v>140.19999999999999</v>
      </c>
      <c r="L171" s="113">
        <f t="shared" si="175"/>
        <v>268.2</v>
      </c>
      <c r="M171" s="113">
        <f t="shared" si="175"/>
        <v>14769.9</v>
      </c>
      <c r="N171" s="61"/>
      <c r="O171" s="113">
        <f t="shared" ref="O171:V171" si="176">ROUND(SUM(O165:O170),3)</f>
        <v>7845.5</v>
      </c>
      <c r="P171" s="113">
        <f t="shared" si="176"/>
        <v>6087.6</v>
      </c>
      <c r="Q171" s="113">
        <f t="shared" si="176"/>
        <v>1757.9</v>
      </c>
      <c r="R171" s="113">
        <f t="shared" si="176"/>
        <v>0</v>
      </c>
      <c r="S171" s="113">
        <f t="shared" si="176"/>
        <v>7845.5</v>
      </c>
      <c r="T171" s="113">
        <f t="shared" si="176"/>
        <v>0</v>
      </c>
      <c r="U171" s="113">
        <f t="shared" si="176"/>
        <v>0</v>
      </c>
      <c r="V171" s="114">
        <f t="shared" si="176"/>
        <v>0</v>
      </c>
      <c r="W171" s="115"/>
      <c r="X171" s="113">
        <f>ROUND(SUM(X165:X170),3)</f>
        <v>42</v>
      </c>
      <c r="Y171" s="113">
        <f>ROUND(SUM(Y165:Y170),3)</f>
        <v>19.5</v>
      </c>
      <c r="Z171" s="113">
        <f>ROUND(SUM(Z165:Z170),3)</f>
        <v>0.5</v>
      </c>
      <c r="AA171" s="113">
        <f>ROUND(SUM(AA165:AA170),3)</f>
        <v>0</v>
      </c>
      <c r="AB171" s="66"/>
      <c r="AC171" s="116">
        <f t="shared" si="153"/>
        <v>19.5</v>
      </c>
      <c r="AD171" s="68"/>
    </row>
    <row r="172" spans="1:30" ht="15.75" x14ac:dyDescent="0.25">
      <c r="A172" s="92"/>
      <c r="B172" s="104" t="s">
        <v>57</v>
      </c>
      <c r="C172" s="144" t="s">
        <v>171</v>
      </c>
      <c r="D172" s="70">
        <v>8.1539999999999999</v>
      </c>
      <c r="E172" s="71">
        <v>109.5</v>
      </c>
      <c r="F172" s="71">
        <f t="shared" si="132"/>
        <v>892.86299999999994</v>
      </c>
      <c r="G172" s="105">
        <v>258.60000000000002</v>
      </c>
      <c r="H172" s="105">
        <v>136.6</v>
      </c>
      <c r="I172" s="105">
        <v>40.799999999999997</v>
      </c>
      <c r="J172" s="73">
        <f t="shared" ref="J172:J175" si="177">H172+I172</f>
        <v>177.39999999999998</v>
      </c>
      <c r="K172" s="73"/>
      <c r="L172" s="73"/>
      <c r="M172" s="73">
        <f>G172+L172</f>
        <v>258.60000000000002</v>
      </c>
      <c r="N172" s="73">
        <f>M172-F172</f>
        <v>-634.26299999999992</v>
      </c>
      <c r="O172" s="73"/>
      <c r="P172" s="105"/>
      <c r="Q172" s="105"/>
      <c r="R172" s="105"/>
      <c r="S172" s="72"/>
      <c r="T172" s="105"/>
      <c r="U172" s="105"/>
      <c r="V172" s="106">
        <f>T172+U172</f>
        <v>0</v>
      </c>
      <c r="W172" s="77">
        <v>1</v>
      </c>
      <c r="X172" s="37">
        <v>1</v>
      </c>
      <c r="Y172" s="37"/>
      <c r="Z172" s="37"/>
      <c r="AA172" s="37"/>
      <c r="AB172" s="78">
        <f t="shared" ref="AB172:AB175" si="178">(Y172+AA172)-W172</f>
        <v>-1</v>
      </c>
      <c r="AC172" s="107">
        <f t="shared" si="153"/>
        <v>0</v>
      </c>
      <c r="AD172" s="79">
        <f t="shared" si="154"/>
        <v>-1</v>
      </c>
    </row>
    <row r="173" spans="1:30" ht="15.75" x14ac:dyDescent="0.25">
      <c r="A173" s="92"/>
      <c r="B173" s="108"/>
      <c r="C173" s="145" t="s">
        <v>172</v>
      </c>
      <c r="D173" s="44">
        <v>1.7669999999999999</v>
      </c>
      <c r="E173" s="45">
        <v>1841.8</v>
      </c>
      <c r="F173" s="45">
        <f t="shared" si="132"/>
        <v>3254.4605999999999</v>
      </c>
      <c r="G173" s="82">
        <v>3208.3</v>
      </c>
      <c r="H173" s="82">
        <v>1886.4</v>
      </c>
      <c r="I173" s="82">
        <v>512.4</v>
      </c>
      <c r="J173" s="47">
        <f t="shared" si="177"/>
        <v>2398.8000000000002</v>
      </c>
      <c r="K173" s="47">
        <f>-185.6-44.4</f>
        <v>-230</v>
      </c>
      <c r="L173" s="47">
        <f>45.9-242.7</f>
        <v>-196.79999999999998</v>
      </c>
      <c r="M173" s="47">
        <f>G173+L173</f>
        <v>3011.5</v>
      </c>
      <c r="N173" s="47">
        <f>M173-F173</f>
        <v>-242.96059999999989</v>
      </c>
      <c r="O173" s="47">
        <v>1850.3</v>
      </c>
      <c r="P173" s="82">
        <v>1425.8</v>
      </c>
      <c r="Q173" s="82">
        <v>424.5</v>
      </c>
      <c r="R173" s="82"/>
      <c r="S173" s="48">
        <f t="shared" ref="S173:S175" si="179">O173+R173</f>
        <v>1850.3</v>
      </c>
      <c r="T173" s="82"/>
      <c r="U173" s="82"/>
      <c r="V173" s="110">
        <f>T173+U173</f>
        <v>0</v>
      </c>
      <c r="W173" s="51">
        <v>5</v>
      </c>
      <c r="X173" s="52">
        <v>7</v>
      </c>
      <c r="Y173" s="52">
        <v>5</v>
      </c>
      <c r="Z173" s="52">
        <v>-1</v>
      </c>
      <c r="AA173" s="52"/>
      <c r="AB173" s="53">
        <f t="shared" si="178"/>
        <v>0</v>
      </c>
      <c r="AC173" s="87">
        <f t="shared" si="153"/>
        <v>5</v>
      </c>
      <c r="AD173" s="54">
        <f t="shared" si="154"/>
        <v>0</v>
      </c>
    </row>
    <row r="174" spans="1:30" ht="15.75" x14ac:dyDescent="0.25">
      <c r="A174" s="92"/>
      <c r="B174" s="108"/>
      <c r="C174" s="127" t="s">
        <v>173</v>
      </c>
      <c r="D174" s="44">
        <v>1.0920000000000001</v>
      </c>
      <c r="E174" s="45">
        <v>2575.9</v>
      </c>
      <c r="F174" s="45">
        <f t="shared" si="132"/>
        <v>2812.8828000000003</v>
      </c>
      <c r="G174" s="82">
        <v>3007.3</v>
      </c>
      <c r="H174" s="82">
        <v>1994.8</v>
      </c>
      <c r="I174" s="82">
        <v>593.79999999999995</v>
      </c>
      <c r="J174" s="47">
        <f t="shared" si="177"/>
        <v>2588.6</v>
      </c>
      <c r="K174" s="47">
        <f>-168.4-51.1</f>
        <v>-219.5</v>
      </c>
      <c r="L174" s="47">
        <f>28.8-223.2</f>
        <v>-194.39999999999998</v>
      </c>
      <c r="M174" s="47">
        <f>G174+L174</f>
        <v>2812.9</v>
      </c>
      <c r="N174" s="47">
        <f>M174-F174</f>
        <v>1.7199999999775173E-2</v>
      </c>
      <c r="O174" s="47">
        <v>1706.5</v>
      </c>
      <c r="P174" s="82">
        <v>1314.9</v>
      </c>
      <c r="Q174" s="82">
        <v>391.6</v>
      </c>
      <c r="R174" s="82"/>
      <c r="S174" s="48">
        <f t="shared" si="179"/>
        <v>1706.5</v>
      </c>
      <c r="T174" s="82"/>
      <c r="U174" s="82"/>
      <c r="V174" s="110">
        <f>T174+U174</f>
        <v>0</v>
      </c>
      <c r="W174" s="51">
        <v>5</v>
      </c>
      <c r="X174" s="52">
        <v>8</v>
      </c>
      <c r="Y174" s="52">
        <v>5</v>
      </c>
      <c r="Z174" s="52">
        <v>-1</v>
      </c>
      <c r="AA174" s="52"/>
      <c r="AB174" s="53">
        <f t="shared" si="178"/>
        <v>0</v>
      </c>
      <c r="AC174" s="87">
        <f t="shared" si="153"/>
        <v>5</v>
      </c>
      <c r="AD174" s="54">
        <f t="shared" si="154"/>
        <v>0</v>
      </c>
    </row>
    <row r="175" spans="1:30" ht="15.75" x14ac:dyDescent="0.25">
      <c r="A175" s="92">
        <v>67</v>
      </c>
      <c r="B175" s="108"/>
      <c r="C175" s="162" t="s">
        <v>174</v>
      </c>
      <c r="D175" s="44">
        <v>1.9850000000000001</v>
      </c>
      <c r="E175" s="45">
        <v>1885.5</v>
      </c>
      <c r="F175" s="45">
        <f t="shared" si="132"/>
        <v>3742.7175000000002</v>
      </c>
      <c r="G175" s="82">
        <v>3495.5</v>
      </c>
      <c r="H175" s="82">
        <v>2101.6999999999998</v>
      </c>
      <c r="I175" s="82">
        <v>623.9</v>
      </c>
      <c r="J175" s="47">
        <f t="shared" si="177"/>
        <v>2725.6</v>
      </c>
      <c r="K175" s="47">
        <f>-178.2-53.2</f>
        <v>-231.39999999999998</v>
      </c>
      <c r="L175" s="47">
        <f>51.4-175.1</f>
        <v>-123.69999999999999</v>
      </c>
      <c r="M175" s="47">
        <f>G175+L175</f>
        <v>3371.8</v>
      </c>
      <c r="N175" s="47">
        <f>M175-F175</f>
        <v>-370.91750000000002</v>
      </c>
      <c r="O175" s="47">
        <v>1962.9</v>
      </c>
      <c r="P175" s="82">
        <v>1507.6</v>
      </c>
      <c r="Q175" s="82">
        <v>455.3</v>
      </c>
      <c r="R175" s="82">
        <v>-231.4</v>
      </c>
      <c r="S175" s="48">
        <f t="shared" si="179"/>
        <v>1731.5</v>
      </c>
      <c r="T175" s="82"/>
      <c r="U175" s="82"/>
      <c r="V175" s="110">
        <f>T175+U175</f>
        <v>0</v>
      </c>
      <c r="W175" s="51">
        <v>5</v>
      </c>
      <c r="X175" s="52">
        <v>7</v>
      </c>
      <c r="Y175" s="52">
        <v>4</v>
      </c>
      <c r="Z175" s="52">
        <v>-0.5</v>
      </c>
      <c r="AA175" s="52">
        <v>-1</v>
      </c>
      <c r="AB175" s="53">
        <f t="shared" si="178"/>
        <v>-2</v>
      </c>
      <c r="AC175" s="87">
        <f t="shared" si="153"/>
        <v>3</v>
      </c>
      <c r="AD175" s="54">
        <f t="shared" si="154"/>
        <v>-2</v>
      </c>
    </row>
    <row r="176" spans="1:30" ht="16.5" thickBot="1" x14ac:dyDescent="0.3">
      <c r="A176" s="92"/>
      <c r="B176" s="111"/>
      <c r="C176" s="66" t="s">
        <v>65</v>
      </c>
      <c r="D176" s="138">
        <f>ROUND(SUM(D172:D175),3)</f>
        <v>12.997999999999999</v>
      </c>
      <c r="E176" s="59"/>
      <c r="F176" s="59"/>
      <c r="G176" s="116">
        <f t="shared" ref="G176:L176" si="180">ROUND(SUM(G172:G175),3)</f>
        <v>9969.7000000000007</v>
      </c>
      <c r="H176" s="116">
        <f t="shared" si="180"/>
        <v>6119.5</v>
      </c>
      <c r="I176" s="116">
        <f t="shared" si="180"/>
        <v>1770.9</v>
      </c>
      <c r="J176" s="116">
        <f t="shared" si="180"/>
        <v>7890.4</v>
      </c>
      <c r="K176" s="116">
        <f t="shared" si="180"/>
        <v>-680.9</v>
      </c>
      <c r="L176" s="116">
        <f t="shared" si="180"/>
        <v>-514.9</v>
      </c>
      <c r="M176" s="116">
        <f>ROUND(SUM(M172:M175),3)</f>
        <v>9454.7999999999993</v>
      </c>
      <c r="N176" s="116"/>
      <c r="O176" s="116">
        <f t="shared" ref="O176:S176" si="181">ROUND(SUM(O172:O175),3)</f>
        <v>5519.7</v>
      </c>
      <c r="P176" s="116">
        <f t="shared" si="181"/>
        <v>4248.3</v>
      </c>
      <c r="Q176" s="116">
        <f t="shared" si="181"/>
        <v>1271.4000000000001</v>
      </c>
      <c r="R176" s="116">
        <f t="shared" si="181"/>
        <v>-231.4</v>
      </c>
      <c r="S176" s="116">
        <f t="shared" si="181"/>
        <v>5288.3</v>
      </c>
      <c r="T176" s="116">
        <f>ROUND(SUM(T172:T175),3)</f>
        <v>0</v>
      </c>
      <c r="U176" s="116">
        <f>ROUND(SUM(U172:U175),3)</f>
        <v>0</v>
      </c>
      <c r="V176" s="139">
        <f>ROUND(SUM(V172:V175),3)</f>
        <v>0</v>
      </c>
      <c r="W176" s="91"/>
      <c r="X176" s="116">
        <f t="shared" ref="X176:AB176" si="182">ROUND(SUM(X172:X175),3)</f>
        <v>23</v>
      </c>
      <c r="Y176" s="116">
        <f t="shared" si="182"/>
        <v>14</v>
      </c>
      <c r="Z176" s="116">
        <f t="shared" si="182"/>
        <v>-2.5</v>
      </c>
      <c r="AA176" s="116">
        <f t="shared" si="182"/>
        <v>-1</v>
      </c>
      <c r="AB176" s="116">
        <f t="shared" si="182"/>
        <v>-3</v>
      </c>
      <c r="AC176" s="116">
        <f t="shared" si="153"/>
        <v>13</v>
      </c>
      <c r="AD176" s="68"/>
    </row>
    <row r="177" spans="1:30" ht="15.75" x14ac:dyDescent="0.25">
      <c r="A177" s="92"/>
      <c r="B177" s="164"/>
      <c r="C177" s="165"/>
      <c r="D177" s="164"/>
      <c r="E177" s="164"/>
      <c r="F177" s="164"/>
      <c r="G177" s="166"/>
      <c r="H177" s="164"/>
      <c r="I177" s="164"/>
      <c r="J177" s="167"/>
      <c r="K177" s="164"/>
      <c r="L177" s="164"/>
      <c r="M177" s="167"/>
      <c r="N177" s="164"/>
      <c r="O177" s="164"/>
      <c r="P177" s="164"/>
      <c r="Q177" s="164"/>
      <c r="R177" s="164"/>
      <c r="S177" s="164"/>
      <c r="T177" s="164"/>
      <c r="U177" s="164"/>
      <c r="V177" s="168"/>
      <c r="W177" s="169"/>
      <c r="X177" s="164"/>
      <c r="Y177" s="164"/>
      <c r="Z177" s="164"/>
      <c r="AA177" s="164"/>
      <c r="AB177" s="164"/>
      <c r="AC177" s="170"/>
      <c r="AD177" s="164"/>
    </row>
    <row r="178" spans="1:30" ht="15.75" x14ac:dyDescent="0.25">
      <c r="A178" s="92"/>
      <c r="B178" s="164"/>
      <c r="C178" s="165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8"/>
      <c r="W178" s="169"/>
      <c r="X178" s="164"/>
      <c r="Y178" s="164"/>
      <c r="Z178" s="164"/>
      <c r="AA178" s="164"/>
      <c r="AB178" s="164"/>
      <c r="AC178" s="170"/>
      <c r="AD178" s="164"/>
    </row>
    <row r="179" spans="1:30" ht="15.75" x14ac:dyDescent="0.25">
      <c r="A179" s="92"/>
      <c r="B179" s="164"/>
      <c r="C179" s="171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8"/>
      <c r="W179" s="169"/>
      <c r="X179" s="164"/>
      <c r="Y179" s="164"/>
      <c r="Z179" s="164"/>
      <c r="AA179" s="164"/>
      <c r="AB179" s="164"/>
      <c r="AC179" s="170"/>
      <c r="AD179" s="164"/>
    </row>
    <row r="180" spans="1:30" ht="15.75" x14ac:dyDescent="0.25">
      <c r="A180" s="92">
        <v>1</v>
      </c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8"/>
      <c r="W180" s="169"/>
      <c r="X180" s="164"/>
      <c r="Y180" s="164"/>
      <c r="Z180" s="164"/>
      <c r="AA180" s="164"/>
      <c r="AB180" s="164"/>
      <c r="AC180" s="170"/>
      <c r="AD180" s="164"/>
    </row>
    <row r="181" spans="1:30" ht="15.75" x14ac:dyDescent="0.25">
      <c r="A181" s="92">
        <v>2</v>
      </c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8"/>
      <c r="W181" s="169"/>
      <c r="X181" s="164"/>
      <c r="Y181" s="164"/>
      <c r="Z181" s="164"/>
      <c r="AA181" s="164"/>
      <c r="AB181" s="164"/>
      <c r="AC181" s="170"/>
      <c r="AD181" s="164"/>
    </row>
    <row r="182" spans="1:30" s="172" customFormat="1" ht="15.75" x14ac:dyDescent="0.25">
      <c r="A182" s="92">
        <v>3</v>
      </c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8"/>
      <c r="W182" s="169"/>
      <c r="X182" s="164"/>
      <c r="Y182" s="164"/>
      <c r="Z182" s="164"/>
      <c r="AA182" s="164"/>
      <c r="AB182" s="164"/>
      <c r="AC182" s="170"/>
      <c r="AD182" s="164"/>
    </row>
    <row r="183" spans="1:30" s="172" customFormat="1" ht="15.75" x14ac:dyDescent="0.25">
      <c r="A183" s="92">
        <v>4</v>
      </c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8"/>
      <c r="W183" s="169"/>
      <c r="X183" s="164"/>
      <c r="Y183" s="164"/>
      <c r="Z183" s="164"/>
      <c r="AA183" s="164"/>
      <c r="AB183" s="164"/>
      <c r="AC183" s="170"/>
      <c r="AD183" s="164"/>
    </row>
    <row r="184" spans="1:30" s="172" customFormat="1" ht="15.75" x14ac:dyDescent="0.25">
      <c r="A184" s="92">
        <v>5</v>
      </c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8"/>
      <c r="W184" s="169"/>
      <c r="X184" s="164"/>
      <c r="Y184" s="164"/>
      <c r="Z184" s="164"/>
      <c r="AA184" s="164"/>
      <c r="AB184" s="164"/>
      <c r="AC184" s="170"/>
      <c r="AD184" s="164"/>
    </row>
    <row r="185" spans="1:30" s="172" customFormat="1" ht="15.75" x14ac:dyDescent="0.25">
      <c r="A185" s="92">
        <v>7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8"/>
      <c r="W185" s="169"/>
      <c r="X185" s="164"/>
      <c r="Y185" s="164"/>
      <c r="Z185" s="164"/>
      <c r="AA185" s="164"/>
      <c r="AB185" s="164"/>
      <c r="AC185" s="170"/>
      <c r="AD185" s="164"/>
    </row>
    <row r="186" spans="1:30" s="172" customFormat="1" ht="15.75" x14ac:dyDescent="0.25">
      <c r="A186" s="92">
        <v>8</v>
      </c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8"/>
      <c r="W186" s="169"/>
      <c r="X186" s="164"/>
      <c r="Y186" s="164"/>
      <c r="Z186" s="164"/>
      <c r="AA186" s="164"/>
      <c r="AB186" s="164"/>
      <c r="AC186" s="170"/>
      <c r="AD186" s="164"/>
    </row>
    <row r="187" spans="1:30" s="172" customFormat="1" ht="15.75" x14ac:dyDescent="0.25">
      <c r="A187" s="92">
        <v>9</v>
      </c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8"/>
      <c r="W187" s="169"/>
      <c r="X187" s="164"/>
      <c r="Y187" s="164"/>
      <c r="Z187" s="164"/>
      <c r="AA187" s="164"/>
      <c r="AB187" s="164"/>
      <c r="AC187" s="170"/>
      <c r="AD187" s="164"/>
    </row>
    <row r="188" spans="1:30" s="172" customFormat="1" ht="15.75" x14ac:dyDescent="0.25">
      <c r="A188" s="92">
        <v>10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8"/>
      <c r="W188" s="169"/>
      <c r="X188" s="164"/>
      <c r="Y188" s="164"/>
      <c r="Z188" s="164"/>
      <c r="AA188" s="164"/>
      <c r="AB188" s="164"/>
      <c r="AC188" s="170"/>
      <c r="AD188" s="164"/>
    </row>
    <row r="189" spans="1:30" s="172" customFormat="1" ht="15.75" x14ac:dyDescent="0.25">
      <c r="A189" s="92"/>
      <c r="B189" s="173"/>
      <c r="C189" s="165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8"/>
      <c r="W189" s="169"/>
      <c r="X189" s="164"/>
      <c r="Y189" s="164"/>
      <c r="Z189" s="164"/>
      <c r="AA189" s="164"/>
      <c r="AB189" s="164"/>
      <c r="AC189" s="170"/>
      <c r="AD189" s="164"/>
    </row>
    <row r="190" spans="1:30" s="172" customFormat="1" ht="15.75" x14ac:dyDescent="0.25">
      <c r="A190" s="92"/>
      <c r="B190" s="173"/>
      <c r="C190" s="165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8"/>
      <c r="W190" s="169"/>
      <c r="X190" s="164"/>
      <c r="Y190" s="164"/>
      <c r="Z190" s="164"/>
      <c r="AA190" s="164"/>
      <c r="AB190" s="164"/>
      <c r="AC190" s="170"/>
      <c r="AD190" s="164"/>
    </row>
    <row r="191" spans="1:30" s="172" customFormat="1" ht="15.75" x14ac:dyDescent="0.25">
      <c r="A191" s="92"/>
      <c r="B191" s="164"/>
      <c r="C191" s="171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8"/>
      <c r="W191" s="169"/>
      <c r="X191" s="164"/>
      <c r="Y191" s="164"/>
      <c r="Z191" s="164"/>
      <c r="AA191" s="164"/>
      <c r="AB191" s="164"/>
      <c r="AC191" s="170"/>
      <c r="AD191" s="164"/>
    </row>
    <row r="192" spans="1:30" s="172" customFormat="1" ht="15.75" x14ac:dyDescent="0.25">
      <c r="A192" s="92">
        <v>1</v>
      </c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8"/>
      <c r="W192" s="169"/>
      <c r="X192" s="164"/>
      <c r="Y192" s="164"/>
      <c r="Z192" s="164"/>
      <c r="AA192" s="164"/>
      <c r="AB192" s="164"/>
      <c r="AC192" s="170"/>
      <c r="AD192" s="164"/>
    </row>
    <row r="193" spans="1:30" s="172" customFormat="1" ht="15.75" x14ac:dyDescent="0.25">
      <c r="A193" s="92">
        <v>3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8"/>
      <c r="W193" s="169"/>
      <c r="X193" s="164"/>
      <c r="Y193" s="164"/>
      <c r="Z193" s="164"/>
      <c r="AA193" s="164"/>
      <c r="AB193" s="164"/>
      <c r="AC193" s="170"/>
      <c r="AD193" s="164"/>
    </row>
    <row r="194" spans="1:30" s="172" customFormat="1" ht="15.75" x14ac:dyDescent="0.25">
      <c r="A194" s="92"/>
      <c r="B194" s="164"/>
      <c r="C194" s="165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8"/>
      <c r="W194" s="169"/>
      <c r="X194" s="164"/>
      <c r="Y194" s="164"/>
      <c r="Z194" s="164"/>
      <c r="AA194" s="164"/>
      <c r="AB194" s="164"/>
      <c r="AC194" s="170"/>
      <c r="AD194" s="164"/>
    </row>
    <row r="195" spans="1:30" s="172" customFormat="1" ht="15.75" x14ac:dyDescent="0.25">
      <c r="A195" s="92"/>
      <c r="B195" s="164"/>
      <c r="C195" s="165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8"/>
      <c r="W195" s="169"/>
      <c r="X195" s="164"/>
      <c r="Y195" s="164"/>
      <c r="Z195" s="164"/>
      <c r="AA195" s="164"/>
      <c r="AB195" s="164"/>
      <c r="AC195" s="170"/>
      <c r="AD195" s="164"/>
    </row>
    <row r="196" spans="1:30" s="172" customFormat="1" ht="15.75" x14ac:dyDescent="0.25">
      <c r="A196" s="92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8"/>
      <c r="W196" s="169"/>
      <c r="X196" s="164"/>
      <c r="Y196" s="164"/>
      <c r="Z196" s="164"/>
      <c r="AA196" s="164"/>
      <c r="AB196" s="164"/>
      <c r="AC196" s="170"/>
      <c r="AD196" s="164"/>
    </row>
    <row r="197" spans="1:30" s="172" customFormat="1" ht="15.75" x14ac:dyDescent="0.25">
      <c r="A197" s="92"/>
      <c r="B197" s="164"/>
      <c r="C197" s="17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8"/>
      <c r="W197" s="169"/>
      <c r="X197" s="164"/>
      <c r="Y197" s="164"/>
      <c r="Z197" s="164"/>
      <c r="AA197" s="164"/>
      <c r="AB197" s="164"/>
      <c r="AC197" s="170"/>
      <c r="AD197" s="164"/>
    </row>
    <row r="198" spans="1:30" s="172" customFormat="1" ht="15.75" x14ac:dyDescent="0.25">
      <c r="A198" s="92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8"/>
      <c r="W198" s="169"/>
      <c r="X198" s="164"/>
      <c r="Y198" s="164"/>
      <c r="Z198" s="164"/>
      <c r="AA198" s="164"/>
      <c r="AB198" s="164"/>
      <c r="AC198" s="170"/>
      <c r="AD198" s="164"/>
    </row>
    <row r="199" spans="1:30" s="172" customFormat="1" ht="15.75" x14ac:dyDescent="0.25">
      <c r="A199" s="92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8"/>
      <c r="W199" s="169"/>
      <c r="X199" s="164"/>
      <c r="Y199" s="164"/>
      <c r="Z199" s="164"/>
      <c r="AA199" s="164"/>
      <c r="AB199" s="164"/>
      <c r="AC199" s="170"/>
      <c r="AD199" s="164"/>
    </row>
    <row r="200" spans="1:30" s="172" customFormat="1" ht="15.75" x14ac:dyDescent="0.25">
      <c r="A200" s="92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8"/>
      <c r="W200" s="169"/>
      <c r="X200" s="164"/>
      <c r="Y200" s="164"/>
      <c r="Z200" s="164"/>
      <c r="AA200" s="164"/>
      <c r="AB200" s="164"/>
      <c r="AC200" s="170"/>
      <c r="AD200" s="164"/>
    </row>
    <row r="201" spans="1:30" s="172" customFormat="1" ht="15.75" x14ac:dyDescent="0.25">
      <c r="A201" s="92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8"/>
      <c r="W201" s="169"/>
      <c r="X201" s="164"/>
      <c r="Y201" s="164"/>
      <c r="Z201" s="164"/>
      <c r="AA201" s="164"/>
      <c r="AB201" s="164"/>
      <c r="AC201" s="170"/>
      <c r="AD201" s="164"/>
    </row>
    <row r="202" spans="1:30" s="172" customFormat="1" ht="15.75" x14ac:dyDescent="0.25">
      <c r="A202" s="92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8"/>
      <c r="W202" s="169"/>
      <c r="X202" s="164"/>
      <c r="Y202" s="164"/>
      <c r="Z202" s="164"/>
      <c r="AA202" s="164"/>
      <c r="AB202" s="164"/>
      <c r="AC202" s="170"/>
      <c r="AD202" s="164"/>
    </row>
    <row r="203" spans="1:30" s="172" customFormat="1" ht="15.75" x14ac:dyDescent="0.25">
      <c r="A203" s="92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8"/>
      <c r="W203" s="169"/>
      <c r="X203" s="164"/>
      <c r="Y203" s="164"/>
      <c r="Z203" s="164"/>
      <c r="AA203" s="164"/>
      <c r="AB203" s="164"/>
      <c r="AC203" s="170"/>
      <c r="AD203" s="164"/>
    </row>
    <row r="204" spans="1:30" s="172" customFormat="1" ht="15.75" x14ac:dyDescent="0.25">
      <c r="A204" s="92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8"/>
      <c r="W204" s="169"/>
      <c r="X204" s="164"/>
      <c r="Y204" s="164"/>
      <c r="Z204" s="164"/>
      <c r="AA204" s="164"/>
      <c r="AB204" s="164"/>
      <c r="AC204" s="170"/>
      <c r="AD204" s="164"/>
    </row>
    <row r="205" spans="1:30" s="172" customFormat="1" ht="15.75" x14ac:dyDescent="0.25">
      <c r="A205" s="92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8"/>
      <c r="W205" s="169"/>
      <c r="X205" s="164"/>
      <c r="Y205" s="164"/>
      <c r="Z205" s="164"/>
      <c r="AA205" s="164"/>
      <c r="AB205" s="164"/>
      <c r="AC205" s="170"/>
      <c r="AD205" s="164"/>
    </row>
    <row r="206" spans="1:30" s="172" customFormat="1" ht="15.75" x14ac:dyDescent="0.25">
      <c r="A206" s="92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8"/>
      <c r="W206" s="169"/>
      <c r="X206" s="164"/>
      <c r="Y206" s="164"/>
      <c r="Z206" s="164"/>
      <c r="AA206" s="164"/>
      <c r="AB206" s="164"/>
      <c r="AC206" s="170"/>
      <c r="AD206" s="164"/>
    </row>
    <row r="207" spans="1:30" s="172" customFormat="1" ht="15.75" x14ac:dyDescent="0.25">
      <c r="A207" s="92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8"/>
      <c r="W207" s="169"/>
      <c r="X207" s="164"/>
      <c r="Y207" s="164"/>
      <c r="Z207" s="164"/>
      <c r="AA207" s="164"/>
      <c r="AB207" s="164"/>
      <c r="AC207" s="170"/>
      <c r="AD207" s="164"/>
    </row>
    <row r="208" spans="1:30" s="172" customFormat="1" ht="15.75" x14ac:dyDescent="0.25">
      <c r="A208" s="92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8"/>
      <c r="W208" s="169"/>
      <c r="X208" s="164"/>
      <c r="Y208" s="164"/>
      <c r="Z208" s="164"/>
      <c r="AA208" s="164"/>
      <c r="AB208" s="164"/>
      <c r="AC208" s="170"/>
      <c r="AD208" s="164"/>
    </row>
    <row r="209" spans="1:30" s="172" customFormat="1" ht="15.75" x14ac:dyDescent="0.25">
      <c r="A209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8"/>
      <c r="W209" s="169"/>
      <c r="X209" s="164"/>
      <c r="Y209" s="164"/>
      <c r="Z209" s="164"/>
      <c r="AA209" s="164"/>
      <c r="AB209" s="164"/>
      <c r="AC209" s="170"/>
      <c r="AD209" s="164"/>
    </row>
    <row r="210" spans="1:30" s="172" customFormat="1" ht="15.75" x14ac:dyDescent="0.25">
      <c r="A210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8"/>
      <c r="W210" s="169"/>
      <c r="X210" s="164"/>
      <c r="Y210" s="164"/>
      <c r="Z210" s="164"/>
      <c r="AA210" s="164"/>
      <c r="AB210" s="164"/>
      <c r="AC210" s="170"/>
      <c r="AD210" s="164"/>
    </row>
    <row r="211" spans="1:30" s="172" customFormat="1" x14ac:dyDescent="0.2">
      <c r="A211"/>
      <c r="B211" s="175"/>
      <c r="H211" s="176"/>
      <c r="I211" s="176"/>
      <c r="J211" s="176"/>
      <c r="K211" s="176"/>
      <c r="L211" s="176"/>
      <c r="M211" s="176"/>
      <c r="N211" s="176"/>
      <c r="V211" s="177"/>
      <c r="W211" s="178"/>
      <c r="AC211" s="179"/>
    </row>
    <row r="212" spans="1:30" s="172" customFormat="1" x14ac:dyDescent="0.2">
      <c r="A212"/>
      <c r="B212" s="175"/>
      <c r="H212" s="176"/>
      <c r="I212" s="176"/>
      <c r="J212" s="176"/>
      <c r="K212" s="176"/>
      <c r="L212" s="176"/>
      <c r="M212" s="176"/>
      <c r="N212" s="176"/>
      <c r="V212" s="177"/>
      <c r="W212" s="178"/>
      <c r="AC212" s="179"/>
    </row>
    <row r="213" spans="1:30" s="172" customFormat="1" x14ac:dyDescent="0.2">
      <c r="A213"/>
      <c r="B213" s="175"/>
      <c r="H213" s="176"/>
      <c r="I213" s="176"/>
      <c r="J213" s="176"/>
      <c r="K213" s="176"/>
      <c r="L213" s="176"/>
      <c r="M213" s="176"/>
      <c r="N213" s="176"/>
      <c r="V213" s="177"/>
      <c r="W213" s="178"/>
      <c r="AC213" s="179"/>
    </row>
    <row r="214" spans="1:30" s="172" customFormat="1" x14ac:dyDescent="0.2">
      <c r="A214"/>
      <c r="B214" s="175"/>
      <c r="H214" s="176"/>
      <c r="I214" s="176"/>
      <c r="J214" s="176"/>
      <c r="K214" s="176"/>
      <c r="L214" s="176"/>
      <c r="M214" s="176"/>
      <c r="N214" s="176"/>
      <c r="V214" s="177"/>
      <c r="W214" s="178"/>
      <c r="AC214" s="179"/>
    </row>
    <row r="215" spans="1:30" s="172" customFormat="1" x14ac:dyDescent="0.2">
      <c r="A215"/>
      <c r="B215" s="175"/>
      <c r="H215" s="176"/>
      <c r="I215" s="176"/>
      <c r="J215" s="176"/>
      <c r="K215" s="176"/>
      <c r="L215" s="176"/>
      <c r="M215" s="176"/>
      <c r="N215" s="176"/>
      <c r="V215" s="177"/>
      <c r="W215" s="178"/>
      <c r="AC215" s="179"/>
    </row>
    <row r="216" spans="1:30" s="172" customFormat="1" x14ac:dyDescent="0.2">
      <c r="A216"/>
      <c r="B216" s="175"/>
      <c r="H216" s="176"/>
      <c r="I216" s="176"/>
      <c r="J216" s="176"/>
      <c r="K216" s="176"/>
      <c r="L216" s="176"/>
      <c r="M216" s="176"/>
      <c r="N216" s="176"/>
      <c r="V216" s="177"/>
      <c r="W216" s="178"/>
      <c r="AC216" s="179"/>
    </row>
    <row r="217" spans="1:30" s="172" customFormat="1" x14ac:dyDescent="0.2">
      <c r="A217"/>
      <c r="B217" s="175"/>
      <c r="H217" s="176"/>
      <c r="I217" s="176"/>
      <c r="J217" s="176"/>
      <c r="K217" s="176"/>
      <c r="L217" s="176"/>
      <c r="M217" s="176"/>
      <c r="N217" s="176"/>
      <c r="V217" s="177"/>
      <c r="W217" s="178"/>
      <c r="AC217" s="179"/>
    </row>
    <row r="218" spans="1:30" s="172" customFormat="1" x14ac:dyDescent="0.2">
      <c r="A218"/>
      <c r="B218" s="175"/>
      <c r="H218" s="176"/>
      <c r="I218" s="176"/>
      <c r="J218" s="176"/>
      <c r="K218" s="176"/>
      <c r="L218" s="176"/>
      <c r="M218" s="176"/>
      <c r="N218" s="176"/>
      <c r="V218" s="177"/>
      <c r="W218" s="178"/>
      <c r="AC218" s="179"/>
    </row>
    <row r="219" spans="1:30" s="172" customFormat="1" x14ac:dyDescent="0.2">
      <c r="A219"/>
      <c r="B219" s="175"/>
      <c r="H219" s="176"/>
      <c r="I219" s="176"/>
      <c r="J219" s="176"/>
      <c r="K219" s="176"/>
      <c r="L219" s="176"/>
      <c r="M219" s="176"/>
      <c r="N219" s="176"/>
      <c r="V219" s="177"/>
      <c r="W219" s="178"/>
    </row>
    <row r="220" spans="1:30" s="172" customFormat="1" x14ac:dyDescent="0.2">
      <c r="A220"/>
      <c r="B220" s="175"/>
      <c r="H220" s="176"/>
      <c r="I220" s="176"/>
      <c r="J220" s="176"/>
      <c r="K220" s="176"/>
      <c r="L220" s="176"/>
      <c r="M220" s="176"/>
      <c r="N220" s="176"/>
      <c r="V220" s="177"/>
      <c r="W220" s="178"/>
    </row>
    <row r="221" spans="1:30" s="172" customFormat="1" x14ac:dyDescent="0.2">
      <c r="A221"/>
      <c r="B221" s="175"/>
      <c r="H221" s="176"/>
      <c r="I221" s="176"/>
      <c r="J221" s="176"/>
      <c r="K221" s="176"/>
      <c r="L221" s="176"/>
      <c r="M221" s="176"/>
      <c r="N221" s="176"/>
      <c r="V221" s="177"/>
      <c r="W221" s="178"/>
    </row>
    <row r="222" spans="1:30" s="172" customFormat="1" x14ac:dyDescent="0.2">
      <c r="A222"/>
      <c r="B222" s="175"/>
      <c r="H222" s="176"/>
      <c r="I222" s="176"/>
      <c r="J222" s="176"/>
      <c r="K222" s="176"/>
      <c r="L222" s="176"/>
      <c r="M222" s="176"/>
      <c r="N222" s="176"/>
      <c r="V222" s="177"/>
      <c r="W222" s="178"/>
    </row>
    <row r="223" spans="1:30" s="172" customFormat="1" x14ac:dyDescent="0.2">
      <c r="A223"/>
      <c r="B223" s="175"/>
      <c r="H223" s="176"/>
      <c r="I223" s="176"/>
      <c r="J223" s="176"/>
      <c r="K223" s="176"/>
      <c r="L223" s="176"/>
      <c r="M223" s="176"/>
      <c r="N223" s="176"/>
      <c r="V223" s="177"/>
      <c r="W223" s="178"/>
    </row>
    <row r="224" spans="1:30" s="172" customFormat="1" x14ac:dyDescent="0.2">
      <c r="A224"/>
      <c r="B224" s="175"/>
      <c r="H224" s="176"/>
      <c r="I224" s="176"/>
      <c r="J224" s="176"/>
      <c r="K224" s="176"/>
      <c r="L224" s="176"/>
      <c r="M224" s="176"/>
      <c r="N224" s="176"/>
      <c r="V224" s="177"/>
      <c r="W224" s="178"/>
    </row>
    <row r="225" spans="1:23" s="172" customFormat="1" x14ac:dyDescent="0.2">
      <c r="A225"/>
      <c r="B225" s="175"/>
      <c r="H225" s="176"/>
      <c r="I225" s="176"/>
      <c r="J225" s="176"/>
      <c r="K225" s="176"/>
      <c r="L225" s="176"/>
      <c r="M225" s="176"/>
      <c r="N225" s="176"/>
      <c r="V225" s="177"/>
      <c r="W225" s="178"/>
    </row>
    <row r="226" spans="1:23" s="172" customFormat="1" x14ac:dyDescent="0.2">
      <c r="A226"/>
      <c r="B226" s="175"/>
      <c r="H226" s="176"/>
      <c r="I226" s="176"/>
      <c r="J226" s="176"/>
      <c r="K226" s="176"/>
      <c r="L226" s="176"/>
      <c r="M226" s="176"/>
      <c r="N226" s="176"/>
      <c r="V226" s="177"/>
      <c r="W226" s="178"/>
    </row>
    <row r="227" spans="1:23" s="172" customFormat="1" x14ac:dyDescent="0.2">
      <c r="A227"/>
      <c r="B227" s="175"/>
      <c r="H227" s="176"/>
      <c r="I227" s="176"/>
      <c r="J227" s="176"/>
      <c r="K227" s="176"/>
      <c r="L227" s="176"/>
      <c r="M227" s="176"/>
      <c r="N227" s="176"/>
      <c r="V227" s="177"/>
      <c r="W227" s="178"/>
    </row>
    <row r="228" spans="1:23" s="172" customFormat="1" x14ac:dyDescent="0.2">
      <c r="A228"/>
      <c r="B228" s="175"/>
      <c r="H228" s="176"/>
      <c r="I228" s="176"/>
      <c r="J228" s="176"/>
      <c r="K228" s="176"/>
      <c r="L228" s="176"/>
      <c r="M228" s="176"/>
      <c r="N228" s="176"/>
      <c r="V228" s="177"/>
      <c r="W228" s="178"/>
    </row>
    <row r="229" spans="1:23" s="172" customFormat="1" x14ac:dyDescent="0.2">
      <c r="A229"/>
      <c r="B229" s="175"/>
      <c r="H229" s="176"/>
      <c r="I229" s="176"/>
      <c r="J229" s="176"/>
      <c r="K229" s="176"/>
      <c r="L229" s="176"/>
      <c r="M229" s="176"/>
      <c r="N229" s="176"/>
      <c r="V229" s="177"/>
      <c r="W229" s="178"/>
    </row>
    <row r="230" spans="1:23" s="172" customFormat="1" x14ac:dyDescent="0.2">
      <c r="A230"/>
      <c r="B230" s="175"/>
      <c r="H230" s="176"/>
      <c r="I230" s="176"/>
      <c r="J230" s="176"/>
      <c r="K230" s="176"/>
      <c r="L230" s="176"/>
      <c r="M230" s="176"/>
      <c r="N230" s="176"/>
      <c r="V230" s="177"/>
      <c r="W230" s="178"/>
    </row>
    <row r="231" spans="1:23" s="172" customFormat="1" x14ac:dyDescent="0.2">
      <c r="A231"/>
      <c r="B231" s="175"/>
      <c r="H231" s="176"/>
      <c r="I231" s="176"/>
      <c r="J231" s="176"/>
      <c r="K231" s="176"/>
      <c r="L231" s="176"/>
      <c r="M231" s="176"/>
      <c r="N231" s="176"/>
      <c r="V231" s="177"/>
      <c r="W231" s="178"/>
    </row>
    <row r="232" spans="1:23" s="172" customFormat="1" x14ac:dyDescent="0.2">
      <c r="A232"/>
      <c r="B232" s="175"/>
      <c r="H232" s="176"/>
      <c r="I232" s="176"/>
      <c r="J232" s="176"/>
      <c r="K232" s="176"/>
      <c r="L232" s="176"/>
      <c r="M232" s="176"/>
      <c r="N232" s="176"/>
      <c r="V232" s="177"/>
      <c r="W232" s="178"/>
    </row>
    <row r="233" spans="1:23" s="172" customFormat="1" x14ac:dyDescent="0.2">
      <c r="A233"/>
      <c r="B233" s="175"/>
      <c r="H233" s="176"/>
      <c r="I233" s="176"/>
      <c r="J233" s="176"/>
      <c r="K233" s="176"/>
      <c r="L233" s="176"/>
      <c r="M233" s="176"/>
      <c r="N233" s="176"/>
      <c r="V233" s="177"/>
      <c r="W233" s="178"/>
    </row>
    <row r="234" spans="1:23" s="172" customFormat="1" x14ac:dyDescent="0.2">
      <c r="A234"/>
      <c r="B234" s="175"/>
      <c r="H234" s="176"/>
      <c r="I234" s="176"/>
      <c r="J234" s="176"/>
      <c r="K234" s="176"/>
      <c r="L234" s="176"/>
      <c r="M234" s="176"/>
      <c r="N234" s="176"/>
      <c r="V234" s="177"/>
      <c r="W234" s="178"/>
    </row>
    <row r="235" spans="1:23" s="172" customFormat="1" x14ac:dyDescent="0.2">
      <c r="A235"/>
      <c r="B235" s="175"/>
      <c r="H235" s="176"/>
      <c r="I235" s="176"/>
      <c r="J235" s="176"/>
      <c r="K235" s="176"/>
      <c r="L235" s="176"/>
      <c r="M235" s="176"/>
      <c r="N235" s="176"/>
      <c r="V235" s="177"/>
      <c r="W235" s="178"/>
    </row>
    <row r="236" spans="1:23" s="172" customFormat="1" x14ac:dyDescent="0.2">
      <c r="A236"/>
      <c r="B236" s="175"/>
      <c r="H236" s="176"/>
      <c r="I236" s="176"/>
      <c r="J236" s="176"/>
      <c r="K236" s="176"/>
      <c r="L236" s="176"/>
      <c r="M236" s="176"/>
      <c r="N236" s="176"/>
      <c r="V236" s="177"/>
      <c r="W236" s="178"/>
    </row>
    <row r="237" spans="1:23" s="172" customFormat="1" x14ac:dyDescent="0.2">
      <c r="A237"/>
      <c r="B237" s="175"/>
      <c r="H237" s="176"/>
      <c r="I237" s="176"/>
      <c r="J237" s="176"/>
      <c r="K237" s="176"/>
      <c r="L237" s="176"/>
      <c r="M237" s="176"/>
      <c r="N237" s="176"/>
      <c r="V237" s="177"/>
      <c r="W237" s="178"/>
    </row>
    <row r="238" spans="1:23" s="172" customFormat="1" x14ac:dyDescent="0.2">
      <c r="A238"/>
      <c r="B238" s="175"/>
      <c r="H238" s="176"/>
      <c r="I238" s="176"/>
      <c r="J238" s="176"/>
      <c r="K238" s="176"/>
      <c r="L238" s="176"/>
      <c r="M238" s="176"/>
      <c r="N238" s="176"/>
      <c r="V238" s="177"/>
      <c r="W238" s="178"/>
    </row>
    <row r="239" spans="1:23" s="172" customFormat="1" x14ac:dyDescent="0.2">
      <c r="A239"/>
      <c r="B239" s="175"/>
      <c r="H239" s="176"/>
      <c r="I239" s="176"/>
      <c r="J239" s="176"/>
      <c r="K239" s="176"/>
      <c r="L239" s="176"/>
      <c r="M239" s="176"/>
      <c r="N239" s="176"/>
      <c r="V239" s="177"/>
      <c r="W239" s="178"/>
    </row>
    <row r="240" spans="1:23" s="172" customFormat="1" x14ac:dyDescent="0.2">
      <c r="A240"/>
      <c r="B240" s="175"/>
      <c r="H240" s="176"/>
      <c r="I240" s="176"/>
      <c r="J240" s="176"/>
      <c r="K240" s="176"/>
      <c r="L240" s="176"/>
      <c r="M240" s="176"/>
      <c r="N240" s="176"/>
      <c r="V240" s="177"/>
      <c r="W240" s="178"/>
    </row>
    <row r="241" spans="1:23" s="172" customFormat="1" x14ac:dyDescent="0.2">
      <c r="A241"/>
      <c r="B241" s="175"/>
      <c r="H241" s="176"/>
      <c r="I241" s="176"/>
      <c r="J241" s="176"/>
      <c r="K241" s="176"/>
      <c r="L241" s="176"/>
      <c r="M241" s="176"/>
      <c r="N241" s="176"/>
      <c r="V241" s="177"/>
      <c r="W241" s="178"/>
    </row>
    <row r="242" spans="1:23" s="172" customFormat="1" x14ac:dyDescent="0.2">
      <c r="A242"/>
      <c r="B242" s="175"/>
      <c r="H242" s="176"/>
      <c r="I242" s="176"/>
      <c r="J242" s="176"/>
      <c r="K242" s="176"/>
      <c r="L242" s="176"/>
      <c r="M242" s="176"/>
      <c r="N242" s="176"/>
      <c r="V242" s="177"/>
      <c r="W242" s="178"/>
    </row>
    <row r="243" spans="1:23" s="172" customFormat="1" x14ac:dyDescent="0.2">
      <c r="A243"/>
      <c r="B243" s="175"/>
      <c r="H243" s="176"/>
      <c r="I243" s="176"/>
      <c r="J243" s="176"/>
      <c r="K243" s="176"/>
      <c r="L243" s="176"/>
      <c r="M243" s="176"/>
      <c r="N243" s="176"/>
      <c r="V243" s="177"/>
      <c r="W243" s="178"/>
    </row>
    <row r="244" spans="1:23" s="172" customFormat="1" x14ac:dyDescent="0.2">
      <c r="A244"/>
      <c r="B244" s="175"/>
      <c r="H244" s="176"/>
      <c r="I244" s="176"/>
      <c r="J244" s="176"/>
      <c r="K244" s="176"/>
      <c r="L244" s="176"/>
      <c r="M244" s="176"/>
      <c r="N244" s="176"/>
      <c r="V244" s="177"/>
      <c r="W244" s="178"/>
    </row>
    <row r="245" spans="1:23" s="172" customFormat="1" x14ac:dyDescent="0.2">
      <c r="A245"/>
      <c r="B245" s="175"/>
      <c r="H245" s="176"/>
      <c r="I245" s="176"/>
      <c r="J245" s="176"/>
      <c r="K245" s="176"/>
      <c r="L245" s="176"/>
      <c r="M245" s="176"/>
      <c r="N245" s="176"/>
      <c r="V245" s="177"/>
      <c r="W245" s="178"/>
    </row>
    <row r="246" spans="1:23" s="172" customFormat="1" x14ac:dyDescent="0.2">
      <c r="A246"/>
      <c r="B246" s="175"/>
      <c r="H246" s="176"/>
      <c r="I246" s="176"/>
      <c r="J246" s="176"/>
      <c r="K246" s="176"/>
      <c r="L246" s="176"/>
      <c r="M246" s="176"/>
      <c r="N246" s="176"/>
      <c r="V246" s="177"/>
      <c r="W246" s="178"/>
    </row>
    <row r="247" spans="1:23" s="172" customFormat="1" x14ac:dyDescent="0.2">
      <c r="A247"/>
      <c r="B247" s="175"/>
      <c r="H247" s="176"/>
      <c r="I247" s="176"/>
      <c r="J247" s="176"/>
      <c r="K247" s="176"/>
      <c r="L247" s="176"/>
      <c r="M247" s="176"/>
      <c r="N247" s="176"/>
      <c r="V247" s="177"/>
      <c r="W247" s="178"/>
    </row>
    <row r="248" spans="1:23" s="172" customFormat="1" x14ac:dyDescent="0.2">
      <c r="A248"/>
      <c r="B248" s="175"/>
      <c r="H248" s="176"/>
      <c r="I248" s="176"/>
      <c r="J248" s="176"/>
      <c r="K248" s="176"/>
      <c r="L248" s="176"/>
      <c r="M248" s="176"/>
      <c r="N248" s="176"/>
      <c r="V248" s="177"/>
      <c r="W248" s="178"/>
    </row>
    <row r="249" spans="1:23" s="172" customFormat="1" x14ac:dyDescent="0.2">
      <c r="A249"/>
      <c r="B249" s="175"/>
      <c r="H249" s="176"/>
      <c r="I249" s="176"/>
      <c r="J249" s="176"/>
      <c r="K249" s="176"/>
      <c r="L249" s="176"/>
      <c r="M249" s="176"/>
      <c r="N249" s="176"/>
      <c r="V249" s="177"/>
      <c r="W249" s="178"/>
    </row>
    <row r="250" spans="1:23" s="172" customFormat="1" x14ac:dyDescent="0.2">
      <c r="A250"/>
      <c r="B250" s="175"/>
      <c r="H250" s="176"/>
      <c r="I250" s="176"/>
      <c r="J250" s="176"/>
      <c r="K250" s="176"/>
      <c r="L250" s="176"/>
      <c r="M250" s="176"/>
      <c r="N250" s="176"/>
      <c r="V250" s="177"/>
      <c r="W250" s="178"/>
    </row>
    <row r="251" spans="1:23" s="172" customFormat="1" x14ac:dyDescent="0.2">
      <c r="A251"/>
      <c r="B251" s="175"/>
      <c r="H251" s="176"/>
      <c r="I251" s="176"/>
      <c r="J251" s="176"/>
      <c r="K251" s="176"/>
      <c r="L251" s="176"/>
      <c r="M251" s="176"/>
      <c r="N251" s="176"/>
      <c r="V251" s="177"/>
      <c r="W251" s="178"/>
    </row>
    <row r="252" spans="1:23" s="172" customFormat="1" x14ac:dyDescent="0.2">
      <c r="A252"/>
      <c r="B252" s="175"/>
      <c r="H252" s="176"/>
      <c r="I252" s="176"/>
      <c r="J252" s="176"/>
      <c r="K252" s="176"/>
      <c r="L252" s="176"/>
      <c r="M252" s="176"/>
      <c r="N252" s="176"/>
      <c r="V252" s="177"/>
      <c r="W252" s="178"/>
    </row>
    <row r="253" spans="1:23" s="172" customFormat="1" x14ac:dyDescent="0.2">
      <c r="A253"/>
      <c r="B253" s="175"/>
      <c r="H253" s="176"/>
      <c r="I253" s="176"/>
      <c r="J253" s="176"/>
      <c r="K253" s="176"/>
      <c r="L253" s="176"/>
      <c r="M253" s="176"/>
      <c r="N253" s="176"/>
      <c r="V253" s="177"/>
      <c r="W253" s="178"/>
    </row>
    <row r="254" spans="1:23" s="172" customFormat="1" x14ac:dyDescent="0.2">
      <c r="A254"/>
      <c r="B254" s="175"/>
      <c r="H254" s="176"/>
      <c r="I254" s="176"/>
      <c r="J254" s="176"/>
      <c r="K254" s="176"/>
      <c r="L254" s="176"/>
      <c r="M254" s="176"/>
      <c r="N254" s="176"/>
      <c r="V254" s="177"/>
      <c r="W254" s="178"/>
    </row>
    <row r="255" spans="1:23" s="172" customFormat="1" x14ac:dyDescent="0.2">
      <c r="A255"/>
      <c r="B255" s="175"/>
      <c r="H255" s="176"/>
      <c r="I255" s="176"/>
      <c r="J255" s="176"/>
      <c r="K255" s="176"/>
      <c r="L255" s="176"/>
      <c r="M255" s="176"/>
      <c r="N255" s="176"/>
      <c r="V255" s="177"/>
      <c r="W255" s="178"/>
    </row>
    <row r="256" spans="1:23" s="172" customFormat="1" x14ac:dyDescent="0.2">
      <c r="A256"/>
      <c r="B256" s="175"/>
      <c r="H256" s="176"/>
      <c r="I256" s="176"/>
      <c r="J256" s="176"/>
      <c r="K256" s="176"/>
      <c r="L256" s="176"/>
      <c r="M256" s="176"/>
      <c r="N256" s="176"/>
      <c r="V256" s="177"/>
      <c r="W256" s="178"/>
    </row>
    <row r="257" spans="1:23" s="172" customFormat="1" x14ac:dyDescent="0.2">
      <c r="A257"/>
      <c r="B257" s="175"/>
      <c r="H257" s="176"/>
      <c r="I257" s="176"/>
      <c r="J257" s="176"/>
      <c r="K257" s="176"/>
      <c r="L257" s="176"/>
      <c r="M257" s="176"/>
      <c r="N257" s="176"/>
      <c r="V257" s="177"/>
      <c r="W257" s="178"/>
    </row>
    <row r="258" spans="1:23" s="172" customFormat="1" x14ac:dyDescent="0.2">
      <c r="A258"/>
      <c r="B258" s="175"/>
      <c r="H258" s="176"/>
      <c r="I258" s="176"/>
      <c r="J258" s="176"/>
      <c r="K258" s="176"/>
      <c r="L258" s="176"/>
      <c r="M258" s="176"/>
      <c r="N258" s="176"/>
      <c r="V258" s="177"/>
      <c r="W258" s="178"/>
    </row>
    <row r="259" spans="1:23" s="172" customFormat="1" x14ac:dyDescent="0.2">
      <c r="A259"/>
      <c r="B259" s="175"/>
      <c r="H259" s="176"/>
      <c r="I259" s="176"/>
      <c r="J259" s="176"/>
      <c r="K259" s="176"/>
      <c r="L259" s="176"/>
      <c r="M259" s="176"/>
      <c r="N259" s="176"/>
      <c r="V259" s="177"/>
      <c r="W259" s="178"/>
    </row>
    <row r="260" spans="1:23" s="172" customFormat="1" x14ac:dyDescent="0.2">
      <c r="A260"/>
      <c r="B260" s="175"/>
      <c r="H260" s="176"/>
      <c r="I260" s="176"/>
      <c r="J260" s="176"/>
      <c r="K260" s="176"/>
      <c r="L260" s="176"/>
      <c r="M260" s="176"/>
      <c r="N260" s="176"/>
      <c r="V260" s="177"/>
      <c r="W260" s="178"/>
    </row>
    <row r="261" spans="1:23" s="172" customFormat="1" x14ac:dyDescent="0.2">
      <c r="A261"/>
      <c r="B261" s="175"/>
      <c r="H261" s="176"/>
      <c r="I261" s="176"/>
      <c r="J261" s="176"/>
      <c r="K261" s="176"/>
      <c r="L261" s="176"/>
      <c r="M261" s="176"/>
      <c r="N261" s="176"/>
      <c r="V261" s="177"/>
      <c r="W261" s="178"/>
    </row>
    <row r="262" spans="1:23" s="172" customFormat="1" x14ac:dyDescent="0.2">
      <c r="A262"/>
      <c r="B262" s="175"/>
      <c r="H262" s="176"/>
      <c r="I262" s="176"/>
      <c r="J262" s="176"/>
      <c r="K262" s="176"/>
      <c r="L262" s="176"/>
      <c r="M262" s="176"/>
      <c r="N262" s="176"/>
      <c r="V262" s="177"/>
      <c r="W262" s="178"/>
    </row>
    <row r="263" spans="1:23" s="172" customFormat="1" x14ac:dyDescent="0.2">
      <c r="A263"/>
      <c r="B263" s="175"/>
      <c r="H263" s="176"/>
      <c r="I263" s="176"/>
      <c r="J263" s="176"/>
      <c r="K263" s="176"/>
      <c r="L263" s="176"/>
      <c r="M263" s="176"/>
      <c r="N263" s="176"/>
      <c r="V263" s="177"/>
      <c r="W263" s="178"/>
    </row>
    <row r="264" spans="1:23" s="172" customFormat="1" x14ac:dyDescent="0.2">
      <c r="A264"/>
      <c r="B264" s="175"/>
      <c r="H264" s="176"/>
      <c r="I264" s="176"/>
      <c r="J264" s="176"/>
      <c r="K264" s="176"/>
      <c r="L264" s="176"/>
      <c r="M264" s="176"/>
      <c r="N264" s="176"/>
      <c r="V264" s="177"/>
      <c r="W264" s="178"/>
    </row>
    <row r="265" spans="1:23" s="172" customFormat="1" x14ac:dyDescent="0.2">
      <c r="A265"/>
      <c r="B265" s="175"/>
      <c r="H265" s="176"/>
      <c r="I265" s="176"/>
      <c r="J265" s="176"/>
      <c r="K265" s="176"/>
      <c r="L265" s="176"/>
      <c r="M265" s="176"/>
      <c r="N265" s="176"/>
      <c r="V265" s="177"/>
      <c r="W265" s="178"/>
    </row>
    <row r="266" spans="1:23" s="172" customFormat="1" x14ac:dyDescent="0.2">
      <c r="A266"/>
      <c r="B266" s="175"/>
      <c r="H266" s="176"/>
      <c r="I266" s="176"/>
      <c r="J266" s="176"/>
      <c r="K266" s="176"/>
      <c r="L266" s="176"/>
      <c r="M266" s="176"/>
      <c r="N266" s="176"/>
      <c r="V266" s="177"/>
      <c r="W266" s="178"/>
    </row>
    <row r="267" spans="1:23" s="172" customFormat="1" x14ac:dyDescent="0.2">
      <c r="A267"/>
      <c r="B267" s="175"/>
      <c r="H267" s="176"/>
      <c r="I267" s="176"/>
      <c r="J267" s="176"/>
      <c r="K267" s="176"/>
      <c r="L267" s="176"/>
      <c r="M267" s="176"/>
      <c r="N267" s="176"/>
      <c r="V267" s="177"/>
      <c r="W267" s="178"/>
    </row>
    <row r="268" spans="1:23" s="172" customFormat="1" x14ac:dyDescent="0.2">
      <c r="A268"/>
      <c r="B268" s="175"/>
      <c r="H268" s="176"/>
      <c r="I268" s="176"/>
      <c r="J268" s="176"/>
      <c r="K268" s="176"/>
      <c r="L268" s="176"/>
      <c r="M268" s="176"/>
      <c r="N268" s="176"/>
      <c r="V268" s="177"/>
      <c r="W268" s="178"/>
    </row>
    <row r="269" spans="1:23" s="172" customFormat="1" x14ac:dyDescent="0.2">
      <c r="A269"/>
      <c r="B269" s="175"/>
      <c r="H269" s="176"/>
      <c r="I269" s="176"/>
      <c r="J269" s="176"/>
      <c r="K269" s="176"/>
      <c r="L269" s="176"/>
      <c r="M269" s="176"/>
      <c r="N269" s="176"/>
      <c r="V269" s="177"/>
      <c r="W269" s="178"/>
    </row>
    <row r="270" spans="1:23" s="172" customFormat="1" x14ac:dyDescent="0.2">
      <c r="A270"/>
      <c r="B270" s="175"/>
      <c r="H270" s="176"/>
      <c r="I270" s="176"/>
      <c r="J270" s="176"/>
      <c r="K270" s="176"/>
      <c r="L270" s="176"/>
      <c r="M270" s="176"/>
      <c r="N270" s="176"/>
      <c r="V270" s="177"/>
      <c r="W270" s="178"/>
    </row>
    <row r="271" spans="1:23" s="172" customFormat="1" x14ac:dyDescent="0.2">
      <c r="A271"/>
      <c r="B271" s="175"/>
      <c r="V271" s="177"/>
      <c r="W271" s="178"/>
    </row>
    <row r="272" spans="1:23" s="172" customFormat="1" x14ac:dyDescent="0.2">
      <c r="A272"/>
      <c r="B272" s="175"/>
      <c r="V272" s="177"/>
      <c r="W272" s="178"/>
    </row>
    <row r="273" spans="1:23" s="172" customFormat="1" x14ac:dyDescent="0.2">
      <c r="A273"/>
      <c r="B273" s="175"/>
      <c r="V273" s="177"/>
      <c r="W273" s="178"/>
    </row>
    <row r="274" spans="1:23" s="172" customFormat="1" x14ac:dyDescent="0.2">
      <c r="A274"/>
      <c r="B274" s="175"/>
      <c r="V274" s="177"/>
      <c r="W274" s="178"/>
    </row>
    <row r="275" spans="1:23" s="172" customFormat="1" x14ac:dyDescent="0.2">
      <c r="A275"/>
      <c r="B275" s="175"/>
      <c r="V275" s="177"/>
      <c r="W275" s="178"/>
    </row>
    <row r="276" spans="1:23" s="172" customFormat="1" x14ac:dyDescent="0.2">
      <c r="A276"/>
      <c r="B276" s="175"/>
      <c r="V276" s="177"/>
      <c r="W276" s="178"/>
    </row>
    <row r="277" spans="1:23" s="172" customFormat="1" x14ac:dyDescent="0.2">
      <c r="A277"/>
      <c r="B277" s="175"/>
      <c r="V277" s="177"/>
      <c r="W277" s="178"/>
    </row>
    <row r="278" spans="1:23" s="172" customFormat="1" x14ac:dyDescent="0.2">
      <c r="A278"/>
      <c r="B278" s="175"/>
      <c r="V278" s="177"/>
      <c r="W278" s="178"/>
    </row>
    <row r="279" spans="1:23" s="172" customFormat="1" x14ac:dyDescent="0.2">
      <c r="A279"/>
      <c r="B279" s="175"/>
      <c r="V279" s="177"/>
      <c r="W279" s="178"/>
    </row>
    <row r="280" spans="1:23" s="172" customFormat="1" x14ac:dyDescent="0.2">
      <c r="A280"/>
      <c r="B280" s="175"/>
      <c r="V280" s="177"/>
      <c r="W280" s="178"/>
    </row>
    <row r="281" spans="1:23" s="172" customFormat="1" x14ac:dyDescent="0.2">
      <c r="A281"/>
      <c r="B281" s="175"/>
      <c r="V281" s="177"/>
      <c r="W281" s="178"/>
    </row>
    <row r="282" spans="1:23" s="172" customFormat="1" x14ac:dyDescent="0.2">
      <c r="A282"/>
      <c r="B282" s="175"/>
      <c r="V282" s="177"/>
      <c r="W282" s="178"/>
    </row>
    <row r="283" spans="1:23" s="172" customFormat="1" x14ac:dyDescent="0.2">
      <c r="A283"/>
      <c r="B283" s="175"/>
      <c r="V283" s="177"/>
      <c r="W283" s="178"/>
    </row>
    <row r="284" spans="1:23" s="172" customFormat="1" x14ac:dyDescent="0.2">
      <c r="A284"/>
      <c r="B284" s="175"/>
      <c r="V284" s="177"/>
      <c r="W284" s="178"/>
    </row>
    <row r="285" spans="1:23" s="172" customFormat="1" x14ac:dyDescent="0.2">
      <c r="A285"/>
      <c r="B285" s="175"/>
      <c r="V285" s="177"/>
      <c r="W285" s="178"/>
    </row>
    <row r="286" spans="1:23" s="172" customFormat="1" x14ac:dyDescent="0.2">
      <c r="A286"/>
      <c r="B286" s="175"/>
      <c r="V286" s="177"/>
      <c r="W286" s="178"/>
    </row>
    <row r="287" spans="1:23" s="172" customFormat="1" x14ac:dyDescent="0.2">
      <c r="A287"/>
      <c r="B287" s="175"/>
      <c r="V287" s="177"/>
      <c r="W287" s="178"/>
    </row>
    <row r="288" spans="1:23" s="172" customFormat="1" x14ac:dyDescent="0.2">
      <c r="A288"/>
      <c r="B288" s="175"/>
      <c r="V288" s="177"/>
      <c r="W288" s="178"/>
    </row>
    <row r="289" spans="1:23" s="172" customFormat="1" x14ac:dyDescent="0.2">
      <c r="A289"/>
      <c r="B289" s="175"/>
      <c r="V289" s="177"/>
      <c r="W289" s="178"/>
    </row>
    <row r="290" spans="1:23" s="172" customFormat="1" x14ac:dyDescent="0.2">
      <c r="A290"/>
      <c r="B290" s="175"/>
      <c r="V290" s="177"/>
      <c r="W290" s="178"/>
    </row>
    <row r="291" spans="1:23" s="172" customFormat="1" x14ac:dyDescent="0.2">
      <c r="A291"/>
      <c r="B291" s="175"/>
      <c r="V291" s="177"/>
      <c r="W291" s="178"/>
    </row>
    <row r="292" spans="1:23" s="172" customFormat="1" x14ac:dyDescent="0.2">
      <c r="A292"/>
      <c r="B292" s="175"/>
      <c r="V292" s="177"/>
      <c r="W292" s="178"/>
    </row>
    <row r="293" spans="1:23" s="172" customFormat="1" x14ac:dyDescent="0.2">
      <c r="A293"/>
      <c r="B293" s="175"/>
      <c r="V293" s="177"/>
      <c r="W293" s="178"/>
    </row>
    <row r="294" spans="1:23" s="172" customFormat="1" x14ac:dyDescent="0.2">
      <c r="A294"/>
      <c r="B294" s="175"/>
      <c r="V294" s="177"/>
      <c r="W294" s="178"/>
    </row>
    <row r="295" spans="1:23" s="172" customFormat="1" x14ac:dyDescent="0.2">
      <c r="A295"/>
      <c r="B295" s="175"/>
      <c r="V295" s="177"/>
      <c r="W295" s="178"/>
    </row>
    <row r="296" spans="1:23" s="172" customFormat="1" x14ac:dyDescent="0.2">
      <c r="A296"/>
      <c r="B296" s="175"/>
      <c r="V296" s="177"/>
      <c r="W296" s="178"/>
    </row>
    <row r="297" spans="1:23" s="172" customFormat="1" x14ac:dyDescent="0.2">
      <c r="A297"/>
      <c r="B297" s="175"/>
      <c r="V297" s="177"/>
      <c r="W297" s="178"/>
    </row>
    <row r="298" spans="1:23" s="172" customFormat="1" x14ac:dyDescent="0.2">
      <c r="A298"/>
      <c r="B298" s="175"/>
      <c r="V298" s="177"/>
      <c r="W298" s="178"/>
    </row>
    <row r="299" spans="1:23" s="172" customFormat="1" x14ac:dyDescent="0.2">
      <c r="A299"/>
      <c r="B299" s="175"/>
      <c r="V299" s="177"/>
      <c r="W299" s="178"/>
    </row>
    <row r="300" spans="1:23" s="172" customFormat="1" x14ac:dyDescent="0.2">
      <c r="A300"/>
      <c r="B300" s="175"/>
      <c r="V300" s="177"/>
      <c r="W300" s="178"/>
    </row>
    <row r="301" spans="1:23" s="172" customFormat="1" x14ac:dyDescent="0.2">
      <c r="A301"/>
      <c r="B301" s="175"/>
      <c r="V301" s="177"/>
      <c r="W301" s="178"/>
    </row>
    <row r="302" spans="1:23" s="172" customFormat="1" x14ac:dyDescent="0.2">
      <c r="A302"/>
      <c r="B302" s="175"/>
      <c r="V302" s="177"/>
      <c r="W302" s="178"/>
    </row>
    <row r="303" spans="1:23" s="172" customFormat="1" x14ac:dyDescent="0.2">
      <c r="A303"/>
      <c r="B303" s="175"/>
      <c r="V303" s="177"/>
      <c r="W303" s="178"/>
    </row>
    <row r="304" spans="1:23" s="172" customFormat="1" x14ac:dyDescent="0.2">
      <c r="A304"/>
      <c r="B304" s="175"/>
      <c r="V304" s="177"/>
      <c r="W304" s="178"/>
    </row>
    <row r="305" spans="1:23" s="172" customFormat="1" x14ac:dyDescent="0.2">
      <c r="A305"/>
      <c r="B305" s="175"/>
      <c r="V305" s="177"/>
      <c r="W305" s="178"/>
    </row>
    <row r="306" spans="1:23" s="172" customFormat="1" x14ac:dyDescent="0.2">
      <c r="A306"/>
      <c r="B306" s="175"/>
      <c r="V306" s="177"/>
      <c r="W306" s="178"/>
    </row>
    <row r="307" spans="1:23" s="172" customFormat="1" x14ac:dyDescent="0.2">
      <c r="A307"/>
      <c r="B307" s="175"/>
      <c r="V307" s="177"/>
      <c r="W307" s="178"/>
    </row>
    <row r="308" spans="1:23" s="172" customFormat="1" x14ac:dyDescent="0.2">
      <c r="A308"/>
      <c r="B308" s="175"/>
      <c r="V308" s="177"/>
      <c r="W308" s="178"/>
    </row>
    <row r="309" spans="1:23" s="172" customFormat="1" x14ac:dyDescent="0.2">
      <c r="A309"/>
      <c r="B309" s="175"/>
      <c r="V309" s="177"/>
      <c r="W309" s="178"/>
    </row>
    <row r="310" spans="1:23" s="172" customFormat="1" x14ac:dyDescent="0.2">
      <c r="A310"/>
      <c r="B310" s="175"/>
      <c r="V310" s="177"/>
      <c r="W310" s="178"/>
    </row>
  </sheetData>
  <mergeCells count="55">
    <mergeCell ref="B156:B164"/>
    <mergeCell ref="B165:B171"/>
    <mergeCell ref="B172:B176"/>
    <mergeCell ref="B122:B125"/>
    <mergeCell ref="B126:B130"/>
    <mergeCell ref="B131:B136"/>
    <mergeCell ref="B137:B141"/>
    <mergeCell ref="B142:B148"/>
    <mergeCell ref="B149:B155"/>
    <mergeCell ref="B86:B91"/>
    <mergeCell ref="B92:B98"/>
    <mergeCell ref="B99:B104"/>
    <mergeCell ref="B105:B110"/>
    <mergeCell ref="B111:B116"/>
    <mergeCell ref="B117:B121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2020 (2)</vt:lpstr>
      <vt:lpstr>'сентябрь 2020 (2)'!Заголовки_для_печати</vt:lpstr>
      <vt:lpstr>'сентябрь 2020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2020-10-19T06:08:41Z</dcterms:created>
  <dcterms:modified xsi:type="dcterms:W3CDTF">2020-10-19T06:09:26Z</dcterms:modified>
</cp:coreProperties>
</file>