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135"/>
  </bookViews>
  <sheets>
    <sheet name="декабрь 2018) (2)" sheetId="1" r:id="rId1"/>
  </sheets>
  <definedNames>
    <definedName name="_xlnm.Print_Titles" localSheetId="0">'декабрь 2018) (2)'!$B:$C,'декабрь 2018) (2)'!$4:$9</definedName>
    <definedName name="_xlnm.Print_Area" localSheetId="0">'декабрь 2018) (2)'!$B$1:$AE$173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4" i="1" l="1"/>
  <c r="I174" i="1"/>
  <c r="G174" i="1"/>
  <c r="AB173" i="1"/>
  <c r="AA173" i="1"/>
  <c r="Z173" i="1"/>
  <c r="AD173" i="1" s="1"/>
  <c r="Y173" i="1"/>
  <c r="V173" i="1"/>
  <c r="U173" i="1"/>
  <c r="S173" i="1"/>
  <c r="R173" i="1"/>
  <c r="Q173" i="1"/>
  <c r="P173" i="1"/>
  <c r="I173" i="1"/>
  <c r="H173" i="1"/>
  <c r="H174" i="1" s="1"/>
  <c r="G173" i="1"/>
  <c r="D173" i="1"/>
  <c r="AD172" i="1"/>
  <c r="AE172" i="1" s="1"/>
  <c r="AC172" i="1"/>
  <c r="W172" i="1"/>
  <c r="T172" i="1"/>
  <c r="L172" i="1"/>
  <c r="K172" i="1"/>
  <c r="J172" i="1"/>
  <c r="F172" i="1"/>
  <c r="AE171" i="1"/>
  <c r="AD171" i="1"/>
  <c r="AC171" i="1"/>
  <c r="W171" i="1"/>
  <c r="T171" i="1"/>
  <c r="T173" i="1" s="1"/>
  <c r="N171" i="1"/>
  <c r="O171" i="1" s="1"/>
  <c r="K171" i="1"/>
  <c r="J171" i="1"/>
  <c r="F171" i="1"/>
  <c r="AE170" i="1"/>
  <c r="AD170" i="1"/>
  <c r="AC170" i="1"/>
  <c r="W170" i="1"/>
  <c r="T170" i="1"/>
  <c r="N170" i="1"/>
  <c r="O170" i="1" s="1"/>
  <c r="K170" i="1"/>
  <c r="K173" i="1" s="1"/>
  <c r="J170" i="1"/>
  <c r="F170" i="1"/>
  <c r="AE169" i="1"/>
  <c r="AD169" i="1"/>
  <c r="AC169" i="1"/>
  <c r="AC173" i="1" s="1"/>
  <c r="W169" i="1"/>
  <c r="W173" i="1" s="1"/>
  <c r="O169" i="1"/>
  <c r="N169" i="1"/>
  <c r="J169" i="1"/>
  <c r="J173" i="1" s="1"/>
  <c r="J174" i="1" s="1"/>
  <c r="F169" i="1"/>
  <c r="AD168" i="1"/>
  <c r="AB168" i="1"/>
  <c r="AA168" i="1"/>
  <c r="Z168" i="1"/>
  <c r="Y168" i="1"/>
  <c r="V168" i="1"/>
  <c r="U168" i="1"/>
  <c r="S168" i="1"/>
  <c r="R168" i="1"/>
  <c r="Q168" i="1"/>
  <c r="P168" i="1"/>
  <c r="L168" i="1"/>
  <c r="I168" i="1"/>
  <c r="H168" i="1"/>
  <c r="G168" i="1"/>
  <c r="D168" i="1"/>
  <c r="AD167" i="1"/>
  <c r="AE167" i="1" s="1"/>
  <c r="AC167" i="1"/>
  <c r="W167" i="1"/>
  <c r="T167" i="1"/>
  <c r="O167" i="1"/>
  <c r="N167" i="1"/>
  <c r="J167" i="1"/>
  <c r="F167" i="1"/>
  <c r="AE166" i="1"/>
  <c r="AD166" i="1"/>
  <c r="AC166" i="1"/>
  <c r="W166" i="1"/>
  <c r="T166" i="1"/>
  <c r="N166" i="1"/>
  <c r="J166" i="1"/>
  <c r="F166" i="1"/>
  <c r="AD165" i="1"/>
  <c r="AE165" i="1" s="1"/>
  <c r="AC165" i="1"/>
  <c r="W165" i="1"/>
  <c r="T165" i="1"/>
  <c r="N165" i="1"/>
  <c r="K165" i="1"/>
  <c r="K168" i="1" s="1"/>
  <c r="J165" i="1"/>
  <c r="F165" i="1"/>
  <c r="O165" i="1" s="1"/>
  <c r="AD164" i="1"/>
  <c r="AE164" i="1" s="1"/>
  <c r="AC164" i="1"/>
  <c r="W164" i="1"/>
  <c r="T164" i="1"/>
  <c r="O164" i="1"/>
  <c r="N164" i="1"/>
  <c r="J164" i="1"/>
  <c r="F164" i="1"/>
  <c r="AE163" i="1"/>
  <c r="AD163" i="1"/>
  <c r="AC163" i="1"/>
  <c r="W163" i="1"/>
  <c r="T163" i="1"/>
  <c r="N163" i="1"/>
  <c r="J163" i="1"/>
  <c r="F163" i="1"/>
  <c r="AD162" i="1"/>
  <c r="AE162" i="1" s="1"/>
  <c r="AC162" i="1"/>
  <c r="W162" i="1"/>
  <c r="T162" i="1"/>
  <c r="O162" i="1"/>
  <c r="N162" i="1"/>
  <c r="N168" i="1" s="1"/>
  <c r="J162" i="1"/>
  <c r="F162" i="1"/>
  <c r="AD161" i="1"/>
  <c r="AB161" i="1"/>
  <c r="AA161" i="1"/>
  <c r="Z161" i="1"/>
  <c r="Y161" i="1"/>
  <c r="V161" i="1"/>
  <c r="U161" i="1"/>
  <c r="T161" i="1"/>
  <c r="S161" i="1"/>
  <c r="R161" i="1"/>
  <c r="Q161" i="1"/>
  <c r="P161" i="1"/>
  <c r="L161" i="1"/>
  <c r="K161" i="1"/>
  <c r="I161" i="1"/>
  <c r="H161" i="1"/>
  <c r="G161" i="1"/>
  <c r="D161" i="1"/>
  <c r="AD160" i="1"/>
  <c r="AE160" i="1" s="1"/>
  <c r="AC160" i="1"/>
  <c r="W160" i="1"/>
  <c r="T160" i="1"/>
  <c r="N160" i="1"/>
  <c r="F160" i="1"/>
  <c r="O160" i="1" s="1"/>
  <c r="AD159" i="1"/>
  <c r="AE159" i="1" s="1"/>
  <c r="AC159" i="1"/>
  <c r="W159" i="1"/>
  <c r="T159" i="1"/>
  <c r="O159" i="1"/>
  <c r="N159" i="1"/>
  <c r="J159" i="1"/>
  <c r="F159" i="1"/>
  <c r="AE158" i="1"/>
  <c r="AD158" i="1"/>
  <c r="AC158" i="1"/>
  <c r="W158" i="1"/>
  <c r="T158" i="1"/>
  <c r="N158" i="1"/>
  <c r="J158" i="1"/>
  <c r="F158" i="1"/>
  <c r="AD157" i="1"/>
  <c r="AE157" i="1" s="1"/>
  <c r="AC157" i="1"/>
  <c r="W157" i="1"/>
  <c r="T157" i="1"/>
  <c r="O157" i="1"/>
  <c r="N157" i="1"/>
  <c r="J157" i="1"/>
  <c r="F157" i="1"/>
  <c r="AE156" i="1"/>
  <c r="AD156" i="1"/>
  <c r="AC156" i="1"/>
  <c r="W156" i="1"/>
  <c r="T156" i="1"/>
  <c r="N156" i="1"/>
  <c r="J156" i="1"/>
  <c r="F156" i="1"/>
  <c r="AD155" i="1"/>
  <c r="AE155" i="1" s="1"/>
  <c r="AC155" i="1"/>
  <c r="W155" i="1"/>
  <c r="T155" i="1"/>
  <c r="O155" i="1"/>
  <c r="N155" i="1"/>
  <c r="J155" i="1"/>
  <c r="F155" i="1"/>
  <c r="AE154" i="1"/>
  <c r="AD154" i="1"/>
  <c r="AC154" i="1"/>
  <c r="W154" i="1"/>
  <c r="T154" i="1"/>
  <c r="N154" i="1"/>
  <c r="J154" i="1"/>
  <c r="F154" i="1"/>
  <c r="AD153" i="1"/>
  <c r="AE153" i="1" s="1"/>
  <c r="AC153" i="1"/>
  <c r="W153" i="1"/>
  <c r="T153" i="1"/>
  <c r="O153" i="1"/>
  <c r="N153" i="1"/>
  <c r="N161" i="1" s="1"/>
  <c r="J153" i="1"/>
  <c r="J161" i="1" s="1"/>
  <c r="F153" i="1"/>
  <c r="AD152" i="1"/>
  <c r="AB152" i="1"/>
  <c r="AA152" i="1"/>
  <c r="Z152" i="1"/>
  <c r="Y152" i="1"/>
  <c r="V152" i="1"/>
  <c r="U152" i="1"/>
  <c r="T152" i="1"/>
  <c r="S152" i="1"/>
  <c r="R152" i="1"/>
  <c r="Q152" i="1"/>
  <c r="P152" i="1"/>
  <c r="L152" i="1"/>
  <c r="I152" i="1"/>
  <c r="H152" i="1"/>
  <c r="G152" i="1"/>
  <c r="D152" i="1"/>
  <c r="AD151" i="1"/>
  <c r="AE151" i="1" s="1"/>
  <c r="AC151" i="1"/>
  <c r="W151" i="1"/>
  <c r="T151" i="1"/>
  <c r="O151" i="1"/>
  <c r="N151" i="1"/>
  <c r="J151" i="1"/>
  <c r="F151" i="1"/>
  <c r="AE150" i="1"/>
  <c r="AD150" i="1"/>
  <c r="AC150" i="1"/>
  <c r="W150" i="1"/>
  <c r="T150" i="1"/>
  <c r="N150" i="1"/>
  <c r="J150" i="1"/>
  <c r="F150" i="1"/>
  <c r="AD149" i="1"/>
  <c r="AE149" i="1" s="1"/>
  <c r="AC149" i="1"/>
  <c r="W149" i="1"/>
  <c r="T149" i="1"/>
  <c r="O149" i="1"/>
  <c r="N149" i="1"/>
  <c r="J149" i="1"/>
  <c r="F149" i="1"/>
  <c r="AE148" i="1"/>
  <c r="AD148" i="1"/>
  <c r="AC148" i="1"/>
  <c r="W148" i="1"/>
  <c r="T148" i="1"/>
  <c r="N148" i="1"/>
  <c r="J148" i="1"/>
  <c r="F148" i="1"/>
  <c r="AD147" i="1"/>
  <c r="AE147" i="1" s="1"/>
  <c r="AC147" i="1"/>
  <c r="W147" i="1"/>
  <c r="T147" i="1"/>
  <c r="O147" i="1"/>
  <c r="N147" i="1"/>
  <c r="J147" i="1"/>
  <c r="F147" i="1"/>
  <c r="AE146" i="1"/>
  <c r="AD146" i="1"/>
  <c r="AC146" i="1"/>
  <c r="W146" i="1"/>
  <c r="W152" i="1" s="1"/>
  <c r="T146" i="1"/>
  <c r="N146" i="1"/>
  <c r="K146" i="1"/>
  <c r="K152" i="1" s="1"/>
  <c r="J146" i="1"/>
  <c r="J152" i="1" s="1"/>
  <c r="F146" i="1"/>
  <c r="AD145" i="1"/>
  <c r="AB145" i="1"/>
  <c r="AA145" i="1"/>
  <c r="Z145" i="1"/>
  <c r="Y145" i="1"/>
  <c r="V145" i="1"/>
  <c r="U145" i="1"/>
  <c r="S145" i="1"/>
  <c r="R145" i="1"/>
  <c r="Q145" i="1"/>
  <c r="P145" i="1"/>
  <c r="L145" i="1"/>
  <c r="I145" i="1"/>
  <c r="H145" i="1"/>
  <c r="G145" i="1"/>
  <c r="D145" i="1"/>
  <c r="AE144" i="1"/>
  <c r="AD144" i="1"/>
  <c r="AC144" i="1"/>
  <c r="W144" i="1"/>
  <c r="T144" i="1"/>
  <c r="N144" i="1"/>
  <c r="J144" i="1"/>
  <c r="F144" i="1"/>
  <c r="AD143" i="1"/>
  <c r="AE143" i="1" s="1"/>
  <c r="AC143" i="1"/>
  <c r="W143" i="1"/>
  <c r="T143" i="1"/>
  <c r="O143" i="1"/>
  <c r="N143" i="1"/>
  <c r="J143" i="1"/>
  <c r="F143" i="1"/>
  <c r="AE142" i="1"/>
  <c r="AD142" i="1"/>
  <c r="AC142" i="1"/>
  <c r="W142" i="1"/>
  <c r="T142" i="1"/>
  <c r="N142" i="1"/>
  <c r="J142" i="1"/>
  <c r="F142" i="1"/>
  <c r="AD141" i="1"/>
  <c r="AE141" i="1" s="1"/>
  <c r="AC141" i="1"/>
  <c r="W141" i="1"/>
  <c r="T141" i="1"/>
  <c r="O141" i="1"/>
  <c r="N141" i="1"/>
  <c r="J141" i="1"/>
  <c r="F141" i="1"/>
  <c r="AE140" i="1"/>
  <c r="AD140" i="1"/>
  <c r="AC140" i="1"/>
  <c r="W140" i="1"/>
  <c r="W145" i="1" s="1"/>
  <c r="T140" i="1"/>
  <c r="T145" i="1" s="1"/>
  <c r="N140" i="1"/>
  <c r="J140" i="1"/>
  <c r="J145" i="1" s="1"/>
  <c r="F140" i="1"/>
  <c r="AB138" i="1"/>
  <c r="AA138" i="1"/>
  <c r="Z138" i="1"/>
  <c r="AD138" i="1" s="1"/>
  <c r="Y138" i="1"/>
  <c r="W138" i="1"/>
  <c r="V138" i="1"/>
  <c r="U138" i="1"/>
  <c r="S138" i="1"/>
  <c r="R138" i="1"/>
  <c r="Q138" i="1"/>
  <c r="P138" i="1"/>
  <c r="L138" i="1"/>
  <c r="K138" i="1"/>
  <c r="I138" i="1"/>
  <c r="H138" i="1"/>
  <c r="G138" i="1"/>
  <c r="D138" i="1"/>
  <c r="AE137" i="1"/>
  <c r="AD137" i="1"/>
  <c r="AC137" i="1"/>
  <c r="W137" i="1"/>
  <c r="T137" i="1"/>
  <c r="N137" i="1"/>
  <c r="O137" i="1" s="1"/>
  <c r="K137" i="1"/>
  <c r="J137" i="1"/>
  <c r="F137" i="1"/>
  <c r="AE136" i="1"/>
  <c r="AD136" i="1"/>
  <c r="AC136" i="1"/>
  <c r="W136" i="1"/>
  <c r="T136" i="1"/>
  <c r="N136" i="1"/>
  <c r="O136" i="1" s="1"/>
  <c r="K136" i="1"/>
  <c r="J136" i="1"/>
  <c r="F136" i="1"/>
  <c r="AE135" i="1"/>
  <c r="AD135" i="1"/>
  <c r="AC135" i="1"/>
  <c r="W135" i="1"/>
  <c r="T135" i="1"/>
  <c r="N135" i="1"/>
  <c r="O135" i="1" s="1"/>
  <c r="K135" i="1"/>
  <c r="J135" i="1"/>
  <c r="F135" i="1"/>
  <c r="AE134" i="1"/>
  <c r="AD134" i="1"/>
  <c r="AC134" i="1"/>
  <c r="W134" i="1"/>
  <c r="T134" i="1"/>
  <c r="T138" i="1" s="1"/>
  <c r="N134" i="1"/>
  <c r="J134" i="1"/>
  <c r="J138" i="1" s="1"/>
  <c r="F134" i="1"/>
  <c r="AB133" i="1"/>
  <c r="AA133" i="1"/>
  <c r="Z133" i="1"/>
  <c r="AD133" i="1" s="1"/>
  <c r="Y133" i="1"/>
  <c r="W133" i="1"/>
  <c r="V133" i="1"/>
  <c r="U133" i="1"/>
  <c r="S133" i="1"/>
  <c r="R133" i="1"/>
  <c r="Q133" i="1"/>
  <c r="P133" i="1"/>
  <c r="L133" i="1"/>
  <c r="K133" i="1"/>
  <c r="I133" i="1"/>
  <c r="H133" i="1"/>
  <c r="G133" i="1"/>
  <c r="D133" i="1"/>
  <c r="AE132" i="1"/>
  <c r="AD132" i="1"/>
  <c r="AC132" i="1"/>
  <c r="W132" i="1"/>
  <c r="T132" i="1"/>
  <c r="N132" i="1"/>
  <c r="O132" i="1" s="1"/>
  <c r="K132" i="1"/>
  <c r="J132" i="1"/>
  <c r="F132" i="1"/>
  <c r="AE131" i="1"/>
  <c r="AD131" i="1"/>
  <c r="AC131" i="1"/>
  <c r="W131" i="1"/>
  <c r="T131" i="1"/>
  <c r="N131" i="1"/>
  <c r="O131" i="1" s="1"/>
  <c r="K131" i="1"/>
  <c r="J131" i="1"/>
  <c r="F131" i="1"/>
  <c r="AE130" i="1"/>
  <c r="AD130" i="1"/>
  <c r="AC130" i="1"/>
  <c r="W130" i="1"/>
  <c r="T130" i="1"/>
  <c r="N130" i="1"/>
  <c r="O130" i="1" s="1"/>
  <c r="K130" i="1"/>
  <c r="J130" i="1"/>
  <c r="F130" i="1"/>
  <c r="AE129" i="1"/>
  <c r="AD129" i="1"/>
  <c r="AC129" i="1"/>
  <c r="W129" i="1"/>
  <c r="T129" i="1"/>
  <c r="N129" i="1"/>
  <c r="K129" i="1"/>
  <c r="F129" i="1"/>
  <c r="N128" i="1"/>
  <c r="O128" i="1" s="1"/>
  <c r="AB127" i="1"/>
  <c r="AA127" i="1"/>
  <c r="Z127" i="1"/>
  <c r="AD127" i="1" s="1"/>
  <c r="Y127" i="1"/>
  <c r="W127" i="1"/>
  <c r="V127" i="1"/>
  <c r="U127" i="1"/>
  <c r="S127" i="1"/>
  <c r="R127" i="1"/>
  <c r="Q127" i="1"/>
  <c r="P127" i="1"/>
  <c r="L127" i="1"/>
  <c r="K127" i="1"/>
  <c r="I127" i="1"/>
  <c r="H127" i="1"/>
  <c r="G127" i="1"/>
  <c r="D127" i="1"/>
  <c r="AE126" i="1"/>
  <c r="AD126" i="1"/>
  <c r="AC126" i="1"/>
  <c r="W126" i="1"/>
  <c r="T126" i="1"/>
  <c r="N126" i="1"/>
  <c r="O126" i="1" s="1"/>
  <c r="K126" i="1"/>
  <c r="J126" i="1"/>
  <c r="F126" i="1"/>
  <c r="AE125" i="1"/>
  <c r="AD125" i="1"/>
  <c r="AC125" i="1"/>
  <c r="W125" i="1"/>
  <c r="T125" i="1"/>
  <c r="N125" i="1"/>
  <c r="O125" i="1" s="1"/>
  <c r="K125" i="1"/>
  <c r="J125" i="1"/>
  <c r="F125" i="1"/>
  <c r="AE124" i="1"/>
  <c r="AD124" i="1"/>
  <c r="AC124" i="1"/>
  <c r="W124" i="1"/>
  <c r="T124" i="1"/>
  <c r="T127" i="1" s="1"/>
  <c r="N124" i="1"/>
  <c r="O124" i="1" s="1"/>
  <c r="K124" i="1"/>
  <c r="J124" i="1"/>
  <c r="F124" i="1"/>
  <c r="AD123" i="1"/>
  <c r="AB123" i="1"/>
  <c r="AA123" i="1"/>
  <c r="Z123" i="1"/>
  <c r="Y123" i="1"/>
  <c r="V123" i="1"/>
  <c r="U123" i="1"/>
  <c r="T123" i="1"/>
  <c r="S123" i="1"/>
  <c r="R123" i="1"/>
  <c r="Q123" i="1"/>
  <c r="P123" i="1"/>
  <c r="L123" i="1"/>
  <c r="J123" i="1"/>
  <c r="I123" i="1"/>
  <c r="H123" i="1"/>
  <c r="G123" i="1"/>
  <c r="D123" i="1"/>
  <c r="AD122" i="1"/>
  <c r="AE122" i="1" s="1"/>
  <c r="AC122" i="1"/>
  <c r="W122" i="1"/>
  <c r="T122" i="1"/>
  <c r="O122" i="1"/>
  <c r="N122" i="1"/>
  <c r="J122" i="1"/>
  <c r="F122" i="1"/>
  <c r="AE121" i="1"/>
  <c r="AD121" i="1"/>
  <c r="AC121" i="1"/>
  <c r="W121" i="1"/>
  <c r="T121" i="1"/>
  <c r="N121" i="1"/>
  <c r="K121" i="1"/>
  <c r="K123" i="1" s="1"/>
  <c r="F121" i="1"/>
  <c r="AD120" i="1"/>
  <c r="AE120" i="1" s="1"/>
  <c r="AC120" i="1"/>
  <c r="W120" i="1"/>
  <c r="W123" i="1" s="1"/>
  <c r="T120" i="1"/>
  <c r="O120" i="1"/>
  <c r="N120" i="1"/>
  <c r="N123" i="1" s="1"/>
  <c r="J120" i="1"/>
  <c r="F120" i="1"/>
  <c r="AD119" i="1"/>
  <c r="AB119" i="1"/>
  <c r="AA119" i="1"/>
  <c r="Z119" i="1"/>
  <c r="Y119" i="1"/>
  <c r="V119" i="1"/>
  <c r="U119" i="1"/>
  <c r="S119" i="1"/>
  <c r="R119" i="1"/>
  <c r="Q119" i="1"/>
  <c r="P119" i="1"/>
  <c r="L119" i="1"/>
  <c r="I119" i="1"/>
  <c r="H119" i="1"/>
  <c r="G119" i="1"/>
  <c r="D119" i="1"/>
  <c r="AE118" i="1"/>
  <c r="AD118" i="1"/>
  <c r="AC118" i="1"/>
  <c r="W118" i="1"/>
  <c r="T118" i="1"/>
  <c r="N118" i="1"/>
  <c r="J118" i="1"/>
  <c r="F118" i="1"/>
  <c r="AD117" i="1"/>
  <c r="AE117" i="1" s="1"/>
  <c r="AC117" i="1"/>
  <c r="W117" i="1"/>
  <c r="T117" i="1"/>
  <c r="O117" i="1"/>
  <c r="N117" i="1"/>
  <c r="J117" i="1"/>
  <c r="F117" i="1"/>
  <c r="AD116" i="1"/>
  <c r="AC116" i="1"/>
  <c r="W116" i="1"/>
  <c r="T116" i="1"/>
  <c r="O116" i="1"/>
  <c r="N116" i="1"/>
  <c r="J116" i="1"/>
  <c r="F116" i="1"/>
  <c r="AE115" i="1"/>
  <c r="AD115" i="1"/>
  <c r="AC115" i="1"/>
  <c r="W115" i="1"/>
  <c r="T115" i="1"/>
  <c r="T119" i="1" s="1"/>
  <c r="N115" i="1"/>
  <c r="J115" i="1"/>
  <c r="J119" i="1" s="1"/>
  <c r="F115" i="1"/>
  <c r="AA114" i="1"/>
  <c r="Z114" i="1"/>
  <c r="AD114" i="1" s="1"/>
  <c r="Y114" i="1"/>
  <c r="V114" i="1"/>
  <c r="U114" i="1"/>
  <c r="R114" i="1"/>
  <c r="Q114" i="1"/>
  <c r="P114" i="1"/>
  <c r="I114" i="1"/>
  <c r="H114" i="1"/>
  <c r="G114" i="1"/>
  <c r="D114" i="1"/>
  <c r="AE113" i="1"/>
  <c r="AD113" i="1"/>
  <c r="AC113" i="1"/>
  <c r="W113" i="1"/>
  <c r="T113" i="1"/>
  <c r="N113" i="1"/>
  <c r="L113" i="1"/>
  <c r="K113" i="1"/>
  <c r="J113" i="1"/>
  <c r="F113" i="1"/>
  <c r="AD112" i="1"/>
  <c r="AE112" i="1" s="1"/>
  <c r="AC112" i="1"/>
  <c r="W112" i="1"/>
  <c r="T112" i="1"/>
  <c r="N112" i="1"/>
  <c r="K112" i="1"/>
  <c r="J112" i="1"/>
  <c r="F112" i="1"/>
  <c r="O112" i="1" s="1"/>
  <c r="AD111" i="1"/>
  <c r="AE111" i="1" s="1"/>
  <c r="AC111" i="1"/>
  <c r="W111" i="1"/>
  <c r="T111" i="1"/>
  <c r="N111" i="1"/>
  <c r="K111" i="1"/>
  <c r="J111" i="1"/>
  <c r="F111" i="1"/>
  <c r="O111" i="1" s="1"/>
  <c r="AD110" i="1"/>
  <c r="AE110" i="1" s="1"/>
  <c r="AC110" i="1"/>
  <c r="W110" i="1"/>
  <c r="T110" i="1"/>
  <c r="L110" i="1"/>
  <c r="N110" i="1" s="1"/>
  <c r="N114" i="1" s="1"/>
  <c r="K110" i="1"/>
  <c r="J110" i="1"/>
  <c r="J114" i="1" s="1"/>
  <c r="F110" i="1"/>
  <c r="AE109" i="1"/>
  <c r="AD109" i="1"/>
  <c r="W109" i="1"/>
  <c r="W114" i="1" s="1"/>
  <c r="AB108" i="1"/>
  <c r="AA108" i="1"/>
  <c r="Z108" i="1"/>
  <c r="AD108" i="1" s="1"/>
  <c r="Y108" i="1"/>
  <c r="V108" i="1"/>
  <c r="S108" i="1"/>
  <c r="R108" i="1"/>
  <c r="Q108" i="1"/>
  <c r="P108" i="1"/>
  <c r="L108" i="1"/>
  <c r="K108" i="1"/>
  <c r="J108" i="1"/>
  <c r="I108" i="1"/>
  <c r="H108" i="1"/>
  <c r="G108" i="1"/>
  <c r="D108" i="1"/>
  <c r="AD107" i="1"/>
  <c r="AE107" i="1" s="1"/>
  <c r="AC107" i="1"/>
  <c r="W107" i="1"/>
  <c r="T107" i="1"/>
  <c r="O107" i="1"/>
  <c r="N107" i="1"/>
  <c r="J107" i="1"/>
  <c r="F107" i="1"/>
  <c r="AE106" i="1"/>
  <c r="AD106" i="1"/>
  <c r="AC106" i="1"/>
  <c r="W106" i="1"/>
  <c r="T106" i="1"/>
  <c r="N106" i="1"/>
  <c r="J106" i="1"/>
  <c r="F106" i="1"/>
  <c r="AD105" i="1"/>
  <c r="AE105" i="1" s="1"/>
  <c r="AC105" i="1"/>
  <c r="W105" i="1"/>
  <c r="W108" i="1" s="1"/>
  <c r="T105" i="1"/>
  <c r="O105" i="1"/>
  <c r="N105" i="1"/>
  <c r="J105" i="1"/>
  <c r="F105" i="1"/>
  <c r="AE104" i="1"/>
  <c r="AD104" i="1"/>
  <c r="AC104" i="1"/>
  <c r="W104" i="1"/>
  <c r="T104" i="1"/>
  <c r="T108" i="1" s="1"/>
  <c r="N104" i="1"/>
  <c r="O104" i="1" s="1"/>
  <c r="F104" i="1"/>
  <c r="AE103" i="1"/>
  <c r="AD103" i="1"/>
  <c r="AC103" i="1"/>
  <c r="W103" i="1"/>
  <c r="N103" i="1"/>
  <c r="F103" i="1"/>
  <c r="O103" i="1" s="1"/>
  <c r="AB102" i="1"/>
  <c r="AA102" i="1"/>
  <c r="Z102" i="1"/>
  <c r="AD102" i="1" s="1"/>
  <c r="Y102" i="1"/>
  <c r="V102" i="1"/>
  <c r="U102" i="1"/>
  <c r="R102" i="1"/>
  <c r="Q102" i="1"/>
  <c r="P102" i="1"/>
  <c r="I102" i="1"/>
  <c r="H102" i="1"/>
  <c r="G102" i="1"/>
  <c r="D102" i="1"/>
  <c r="AE101" i="1"/>
  <c r="AD101" i="1"/>
  <c r="AC101" i="1"/>
  <c r="W101" i="1"/>
  <c r="T101" i="1"/>
  <c r="S101" i="1"/>
  <c r="L101" i="1"/>
  <c r="K101" i="1"/>
  <c r="J101" i="1"/>
  <c r="G101" i="1"/>
  <c r="N101" i="1" s="1"/>
  <c r="O101" i="1" s="1"/>
  <c r="F101" i="1"/>
  <c r="AD100" i="1"/>
  <c r="AE100" i="1" s="1"/>
  <c r="AC100" i="1"/>
  <c r="W100" i="1"/>
  <c r="S100" i="1"/>
  <c r="T100" i="1" s="1"/>
  <c r="N100" i="1"/>
  <c r="L100" i="1"/>
  <c r="K100" i="1"/>
  <c r="J100" i="1"/>
  <c r="F100" i="1"/>
  <c r="AD99" i="1"/>
  <c r="AE99" i="1" s="1"/>
  <c r="AC99" i="1"/>
  <c r="W99" i="1"/>
  <c r="S99" i="1"/>
  <c r="T99" i="1" s="1"/>
  <c r="N99" i="1"/>
  <c r="L99" i="1"/>
  <c r="K99" i="1"/>
  <c r="J99" i="1"/>
  <c r="F99" i="1"/>
  <c r="AD98" i="1"/>
  <c r="AE98" i="1" s="1"/>
  <c r="AC98" i="1"/>
  <c r="W98" i="1"/>
  <c r="S98" i="1"/>
  <c r="T98" i="1" s="1"/>
  <c r="N98" i="1"/>
  <c r="L98" i="1"/>
  <c r="K98" i="1"/>
  <c r="J98" i="1"/>
  <c r="F98" i="1"/>
  <c r="AD97" i="1"/>
  <c r="AE97" i="1" s="1"/>
  <c r="AC97" i="1"/>
  <c r="W97" i="1"/>
  <c r="W102" i="1" s="1"/>
  <c r="S97" i="1"/>
  <c r="T97" i="1" s="1"/>
  <c r="T102" i="1" s="1"/>
  <c r="N97" i="1"/>
  <c r="L97" i="1"/>
  <c r="L102" i="1" s="1"/>
  <c r="K97" i="1"/>
  <c r="K102" i="1" s="1"/>
  <c r="J97" i="1"/>
  <c r="J102" i="1" s="1"/>
  <c r="F97" i="1"/>
  <c r="O96" i="1"/>
  <c r="AD95" i="1"/>
  <c r="AB95" i="1"/>
  <c r="AA95" i="1"/>
  <c r="Z95" i="1"/>
  <c r="Y95" i="1"/>
  <c r="V95" i="1"/>
  <c r="U95" i="1"/>
  <c r="S95" i="1"/>
  <c r="R95" i="1"/>
  <c r="Q95" i="1"/>
  <c r="P95" i="1"/>
  <c r="I95" i="1"/>
  <c r="H95" i="1"/>
  <c r="G95" i="1"/>
  <c r="D95" i="1"/>
  <c r="AD94" i="1"/>
  <c r="AE94" i="1" s="1"/>
  <c r="AC94" i="1"/>
  <c r="W94" i="1"/>
  <c r="T94" i="1"/>
  <c r="L94" i="1"/>
  <c r="N94" i="1" s="1"/>
  <c r="O94" i="1" s="1"/>
  <c r="K94" i="1"/>
  <c r="J94" i="1"/>
  <c r="F94" i="1"/>
  <c r="AE93" i="1"/>
  <c r="AD93" i="1"/>
  <c r="AC93" i="1"/>
  <c r="W93" i="1"/>
  <c r="T93" i="1"/>
  <c r="N93" i="1"/>
  <c r="L93" i="1"/>
  <c r="K93" i="1"/>
  <c r="J93" i="1"/>
  <c r="F93" i="1"/>
  <c r="AD92" i="1"/>
  <c r="AE92" i="1" s="1"/>
  <c r="AC92" i="1"/>
  <c r="W92" i="1"/>
  <c r="T92" i="1"/>
  <c r="O92" i="1"/>
  <c r="L92" i="1"/>
  <c r="N92" i="1" s="1"/>
  <c r="K92" i="1"/>
  <c r="J92" i="1"/>
  <c r="F92" i="1"/>
  <c r="AE91" i="1"/>
  <c r="AD91" i="1"/>
  <c r="AC91" i="1"/>
  <c r="W91" i="1"/>
  <c r="T91" i="1"/>
  <c r="N91" i="1"/>
  <c r="L91" i="1"/>
  <c r="K91" i="1"/>
  <c r="J91" i="1"/>
  <c r="F91" i="1"/>
  <c r="AD90" i="1"/>
  <c r="AE90" i="1" s="1"/>
  <c r="AC90" i="1"/>
  <c r="W90" i="1"/>
  <c r="T90" i="1"/>
  <c r="L90" i="1"/>
  <c r="N90" i="1" s="1"/>
  <c r="O90" i="1" s="1"/>
  <c r="K90" i="1"/>
  <c r="J90" i="1"/>
  <c r="J95" i="1" s="1"/>
  <c r="F90" i="1"/>
  <c r="AE89" i="1"/>
  <c r="AD89" i="1"/>
  <c r="AC89" i="1"/>
  <c r="W89" i="1"/>
  <c r="T89" i="1"/>
  <c r="T95" i="1" s="1"/>
  <c r="N89" i="1"/>
  <c r="L89" i="1"/>
  <c r="K89" i="1"/>
  <c r="J89" i="1"/>
  <c r="F89" i="1"/>
  <c r="AD88" i="1"/>
  <c r="AE88" i="1" s="1"/>
  <c r="AC88" i="1"/>
  <c r="W88" i="1"/>
  <c r="W95" i="1" s="1"/>
  <c r="T88" i="1"/>
  <c r="O88" i="1"/>
  <c r="L88" i="1"/>
  <c r="N88" i="1" s="1"/>
  <c r="K88" i="1"/>
  <c r="K95" i="1" s="1"/>
  <c r="J88" i="1"/>
  <c r="F88" i="1"/>
  <c r="AD87" i="1"/>
  <c r="AB87" i="1"/>
  <c r="AA87" i="1"/>
  <c r="Z87" i="1"/>
  <c r="Y87" i="1"/>
  <c r="V87" i="1"/>
  <c r="U87" i="1"/>
  <c r="S87" i="1"/>
  <c r="R87" i="1"/>
  <c r="Q87" i="1"/>
  <c r="P87" i="1"/>
  <c r="I87" i="1"/>
  <c r="H87" i="1"/>
  <c r="G87" i="1"/>
  <c r="D87" i="1"/>
  <c r="AD86" i="1"/>
  <c r="AE86" i="1" s="1"/>
  <c r="AC86" i="1"/>
  <c r="W86" i="1"/>
  <c r="T86" i="1"/>
  <c r="L86" i="1"/>
  <c r="N86" i="1" s="1"/>
  <c r="O86" i="1" s="1"/>
  <c r="K86" i="1"/>
  <c r="J86" i="1"/>
  <c r="F86" i="1"/>
  <c r="AE85" i="1"/>
  <c r="AD85" i="1"/>
  <c r="AC85" i="1"/>
  <c r="W85" i="1"/>
  <c r="T85" i="1"/>
  <c r="N85" i="1"/>
  <c r="L85" i="1"/>
  <c r="K85" i="1"/>
  <c r="J85" i="1"/>
  <c r="F85" i="1"/>
  <c r="AD84" i="1"/>
  <c r="AE84" i="1" s="1"/>
  <c r="AC84" i="1"/>
  <c r="W84" i="1"/>
  <c r="T84" i="1"/>
  <c r="O84" i="1"/>
  <c r="L84" i="1"/>
  <c r="N84" i="1" s="1"/>
  <c r="K84" i="1"/>
  <c r="J84" i="1"/>
  <c r="F84" i="1"/>
  <c r="AE83" i="1"/>
  <c r="AD83" i="1"/>
  <c r="AC83" i="1"/>
  <c r="AA83" i="1"/>
  <c r="W83" i="1"/>
  <c r="T83" i="1"/>
  <c r="L83" i="1"/>
  <c r="N83" i="1" s="1"/>
  <c r="O83" i="1" s="1"/>
  <c r="K83" i="1"/>
  <c r="K87" i="1" s="1"/>
  <c r="J83" i="1"/>
  <c r="J87" i="1" s="1"/>
  <c r="F83" i="1"/>
  <c r="AE82" i="1"/>
  <c r="AD82" i="1"/>
  <c r="AC82" i="1"/>
  <c r="W82" i="1"/>
  <c r="T82" i="1"/>
  <c r="T87" i="1" s="1"/>
  <c r="N82" i="1"/>
  <c r="J82" i="1"/>
  <c r="F82" i="1"/>
  <c r="Z81" i="1"/>
  <c r="Y81" i="1"/>
  <c r="V81" i="1"/>
  <c r="U81" i="1"/>
  <c r="R81" i="1"/>
  <c r="Q81" i="1"/>
  <c r="P81" i="1"/>
  <c r="I81" i="1"/>
  <c r="H81" i="1"/>
  <c r="G81" i="1"/>
  <c r="D81" i="1"/>
  <c r="AC80" i="1"/>
  <c r="AB80" i="1"/>
  <c r="AD80" i="1" s="1"/>
  <c r="AE80" i="1" s="1"/>
  <c r="AA80" i="1"/>
  <c r="W80" i="1"/>
  <c r="T80" i="1"/>
  <c r="S80" i="1"/>
  <c r="L80" i="1"/>
  <c r="N80" i="1" s="1"/>
  <c r="O80" i="1" s="1"/>
  <c r="K80" i="1"/>
  <c r="J80" i="1"/>
  <c r="F80" i="1"/>
  <c r="AD79" i="1"/>
  <c r="AB79" i="1"/>
  <c r="AC79" i="1" s="1"/>
  <c r="AA79" i="1"/>
  <c r="W79" i="1"/>
  <c r="S79" i="1"/>
  <c r="T79" i="1" s="1"/>
  <c r="N79" i="1"/>
  <c r="L79" i="1"/>
  <c r="K79" i="1"/>
  <c r="J79" i="1"/>
  <c r="F79" i="1"/>
  <c r="AD78" i="1"/>
  <c r="AE78" i="1" s="1"/>
  <c r="AB78" i="1"/>
  <c r="AC78" i="1" s="1"/>
  <c r="AA78" i="1"/>
  <c r="W78" i="1"/>
  <c r="S78" i="1"/>
  <c r="T78" i="1" s="1"/>
  <c r="N78" i="1"/>
  <c r="L78" i="1"/>
  <c r="K78" i="1"/>
  <c r="J78" i="1"/>
  <c r="F78" i="1"/>
  <c r="AC77" i="1"/>
  <c r="AB77" i="1"/>
  <c r="AD77" i="1" s="1"/>
  <c r="AA77" i="1"/>
  <c r="W77" i="1"/>
  <c r="T77" i="1"/>
  <c r="S77" i="1"/>
  <c r="O77" i="1"/>
  <c r="L77" i="1"/>
  <c r="N77" i="1" s="1"/>
  <c r="K77" i="1"/>
  <c r="J77" i="1"/>
  <c r="F77" i="1"/>
  <c r="AB76" i="1"/>
  <c r="AC76" i="1" s="1"/>
  <c r="AA76" i="1"/>
  <c r="W76" i="1"/>
  <c r="S76" i="1"/>
  <c r="T76" i="1" s="1"/>
  <c r="N76" i="1"/>
  <c r="L76" i="1"/>
  <c r="K76" i="1"/>
  <c r="J76" i="1"/>
  <c r="F76" i="1"/>
  <c r="AB75" i="1"/>
  <c r="AC75" i="1" s="1"/>
  <c r="AA75" i="1"/>
  <c r="W75" i="1"/>
  <c r="W81" i="1" s="1"/>
  <c r="S75" i="1"/>
  <c r="T75" i="1" s="1"/>
  <c r="N75" i="1"/>
  <c r="O75" i="1" s="1"/>
  <c r="L75" i="1"/>
  <c r="K75" i="1"/>
  <c r="K81" i="1" s="1"/>
  <c r="F75" i="1"/>
  <c r="AC74" i="1"/>
  <c r="AB74" i="1"/>
  <c r="AD74" i="1" s="1"/>
  <c r="AE74" i="1" s="1"/>
  <c r="AA74" i="1"/>
  <c r="W74" i="1"/>
  <c r="T74" i="1"/>
  <c r="S74" i="1"/>
  <c r="L74" i="1"/>
  <c r="N74" i="1" s="1"/>
  <c r="O74" i="1" s="1"/>
  <c r="K74" i="1"/>
  <c r="J74" i="1"/>
  <c r="F74" i="1"/>
  <c r="AC73" i="1"/>
  <c r="AB73" i="1"/>
  <c r="AD73" i="1" s="1"/>
  <c r="AE73" i="1" s="1"/>
  <c r="AA73" i="1"/>
  <c r="W73" i="1"/>
  <c r="T73" i="1"/>
  <c r="S73" i="1"/>
  <c r="L73" i="1"/>
  <c r="K73" i="1"/>
  <c r="J73" i="1"/>
  <c r="J81" i="1" s="1"/>
  <c r="F73" i="1"/>
  <c r="AD72" i="1"/>
  <c r="AB72" i="1"/>
  <c r="AA72" i="1"/>
  <c r="Z72" i="1"/>
  <c r="Y72" i="1"/>
  <c r="X72" i="1"/>
  <c r="V72" i="1"/>
  <c r="U72" i="1"/>
  <c r="S72" i="1"/>
  <c r="R72" i="1"/>
  <c r="Q72" i="1"/>
  <c r="P72" i="1"/>
  <c r="L72" i="1"/>
  <c r="I72" i="1"/>
  <c r="H72" i="1"/>
  <c r="G72" i="1"/>
  <c r="D72" i="1"/>
  <c r="AD71" i="1"/>
  <c r="AE71" i="1" s="1"/>
  <c r="AC71" i="1"/>
  <c r="W71" i="1"/>
  <c r="T71" i="1"/>
  <c r="O71" i="1"/>
  <c r="N71" i="1"/>
  <c r="J71" i="1"/>
  <c r="F71" i="1"/>
  <c r="AE70" i="1"/>
  <c r="AD70" i="1"/>
  <c r="AC70" i="1"/>
  <c r="W70" i="1"/>
  <c r="T70" i="1"/>
  <c r="N70" i="1"/>
  <c r="J70" i="1"/>
  <c r="F70" i="1"/>
  <c r="AD69" i="1"/>
  <c r="AE69" i="1" s="1"/>
  <c r="AC69" i="1"/>
  <c r="W69" i="1"/>
  <c r="T69" i="1"/>
  <c r="O69" i="1"/>
  <c r="N69" i="1"/>
  <c r="J69" i="1"/>
  <c r="F69" i="1"/>
  <c r="AE68" i="1"/>
  <c r="AD68" i="1"/>
  <c r="AC68" i="1"/>
  <c r="W68" i="1"/>
  <c r="T68" i="1"/>
  <c r="N68" i="1"/>
  <c r="J68" i="1"/>
  <c r="F68" i="1"/>
  <c r="AD67" i="1"/>
  <c r="AE67" i="1" s="1"/>
  <c r="AC67" i="1"/>
  <c r="W67" i="1"/>
  <c r="W72" i="1" s="1"/>
  <c r="T67" i="1"/>
  <c r="O67" i="1"/>
  <c r="N67" i="1"/>
  <c r="J67" i="1"/>
  <c r="J72" i="1" s="1"/>
  <c r="F67" i="1"/>
  <c r="AD66" i="1"/>
  <c r="AB66" i="1"/>
  <c r="AA66" i="1"/>
  <c r="Z66" i="1"/>
  <c r="Y66" i="1"/>
  <c r="V66" i="1"/>
  <c r="U66" i="1"/>
  <c r="S66" i="1"/>
  <c r="R66" i="1"/>
  <c r="Q66" i="1"/>
  <c r="P66" i="1"/>
  <c r="L66" i="1"/>
  <c r="I66" i="1"/>
  <c r="H66" i="1"/>
  <c r="G66" i="1"/>
  <c r="D66" i="1"/>
  <c r="AE65" i="1"/>
  <c r="AD65" i="1"/>
  <c r="AC65" i="1"/>
  <c r="W65" i="1"/>
  <c r="T65" i="1"/>
  <c r="N65" i="1"/>
  <c r="J65" i="1"/>
  <c r="F65" i="1"/>
  <c r="AD64" i="1"/>
  <c r="AE64" i="1" s="1"/>
  <c r="AC64" i="1"/>
  <c r="W64" i="1"/>
  <c r="T64" i="1"/>
  <c r="O64" i="1"/>
  <c r="N64" i="1"/>
  <c r="J64" i="1"/>
  <c r="F64" i="1"/>
  <c r="AE63" i="1"/>
  <c r="AD63" i="1"/>
  <c r="AC63" i="1"/>
  <c r="W63" i="1"/>
  <c r="T63" i="1"/>
  <c r="N63" i="1"/>
  <c r="O63" i="1" s="1"/>
  <c r="J63" i="1"/>
  <c r="F63" i="1"/>
  <c r="AD62" i="1"/>
  <c r="AE62" i="1" s="1"/>
  <c r="AC62" i="1"/>
  <c r="T62" i="1"/>
  <c r="T66" i="1" s="1"/>
  <c r="F62" i="1"/>
  <c r="O62" i="1" s="1"/>
  <c r="AD61" i="1"/>
  <c r="AE61" i="1" s="1"/>
  <c r="AC61" i="1"/>
  <c r="W61" i="1"/>
  <c r="T61" i="1"/>
  <c r="O61" i="1"/>
  <c r="N61" i="1"/>
  <c r="J61" i="1"/>
  <c r="F61" i="1"/>
  <c r="AE60" i="1"/>
  <c r="AD60" i="1"/>
  <c r="AC60" i="1"/>
  <c r="W60" i="1"/>
  <c r="W66" i="1" s="1"/>
  <c r="O60" i="1"/>
  <c r="N60" i="1"/>
  <c r="N66" i="1" s="1"/>
  <c r="J60" i="1"/>
  <c r="J66" i="1" s="1"/>
  <c r="F60" i="1"/>
  <c r="AD59" i="1"/>
  <c r="AB59" i="1"/>
  <c r="AA59" i="1"/>
  <c r="Z59" i="1"/>
  <c r="Y59" i="1"/>
  <c r="V59" i="1"/>
  <c r="U59" i="1"/>
  <c r="T59" i="1"/>
  <c r="S59" i="1"/>
  <c r="R59" i="1"/>
  <c r="Q59" i="1"/>
  <c r="P59" i="1"/>
  <c r="L59" i="1"/>
  <c r="J59" i="1"/>
  <c r="I59" i="1"/>
  <c r="H59" i="1"/>
  <c r="G59" i="1"/>
  <c r="D59" i="1"/>
  <c r="AD58" i="1"/>
  <c r="AE58" i="1" s="1"/>
  <c r="AC58" i="1"/>
  <c r="W58" i="1"/>
  <c r="T58" i="1"/>
  <c r="N58" i="1"/>
  <c r="K58" i="1"/>
  <c r="J58" i="1"/>
  <c r="F58" i="1"/>
  <c r="O58" i="1" s="1"/>
  <c r="AD57" i="1"/>
  <c r="AE57" i="1" s="1"/>
  <c r="AC57" i="1"/>
  <c r="W57" i="1"/>
  <c r="T57" i="1"/>
  <c r="N57" i="1"/>
  <c r="K57" i="1"/>
  <c r="J57" i="1"/>
  <c r="F57" i="1"/>
  <c r="O57" i="1" s="1"/>
  <c r="AD56" i="1"/>
  <c r="AE56" i="1" s="1"/>
  <c r="AC56" i="1"/>
  <c r="W56" i="1"/>
  <c r="T56" i="1"/>
  <c r="N56" i="1"/>
  <c r="K56" i="1"/>
  <c r="J56" i="1"/>
  <c r="F56" i="1"/>
  <c r="O56" i="1" s="1"/>
  <c r="AD55" i="1"/>
  <c r="AE55" i="1" s="1"/>
  <c r="AC55" i="1"/>
  <c r="W55" i="1"/>
  <c r="T55" i="1"/>
  <c r="N55" i="1"/>
  <c r="K55" i="1"/>
  <c r="J55" i="1"/>
  <c r="F55" i="1"/>
  <c r="O55" i="1" s="1"/>
  <c r="AD54" i="1"/>
  <c r="AE54" i="1" s="1"/>
  <c r="AC54" i="1"/>
  <c r="W54" i="1"/>
  <c r="T54" i="1"/>
  <c r="N54" i="1"/>
  <c r="K54" i="1"/>
  <c r="J54" i="1"/>
  <c r="F54" i="1"/>
  <c r="O54" i="1" s="1"/>
  <c r="AD53" i="1"/>
  <c r="AE53" i="1" s="1"/>
  <c r="AC53" i="1"/>
  <c r="W53" i="1"/>
  <c r="W59" i="1" s="1"/>
  <c r="T53" i="1"/>
  <c r="N53" i="1"/>
  <c r="N59" i="1" s="1"/>
  <c r="K53" i="1"/>
  <c r="K59" i="1" s="1"/>
  <c r="J53" i="1"/>
  <c r="F53" i="1"/>
  <c r="O53" i="1" s="1"/>
  <c r="Z52" i="1"/>
  <c r="AD52" i="1" s="1"/>
  <c r="Y52" i="1"/>
  <c r="V52" i="1"/>
  <c r="U52" i="1"/>
  <c r="S52" i="1"/>
  <c r="R52" i="1"/>
  <c r="Q52" i="1"/>
  <c r="P52" i="1"/>
  <c r="N52" i="1"/>
  <c r="L52" i="1"/>
  <c r="I52" i="1"/>
  <c r="H52" i="1"/>
  <c r="G52" i="1"/>
  <c r="D52" i="1"/>
  <c r="AD51" i="1"/>
  <c r="AC51" i="1"/>
  <c r="W51" i="1"/>
  <c r="T51" i="1"/>
  <c r="N51" i="1"/>
  <c r="J51" i="1"/>
  <c r="F51" i="1"/>
  <c r="AD50" i="1"/>
  <c r="AE50" i="1" s="1"/>
  <c r="AC50" i="1"/>
  <c r="W50" i="1"/>
  <c r="T50" i="1"/>
  <c r="O50" i="1"/>
  <c r="N50" i="1"/>
  <c r="J50" i="1"/>
  <c r="J52" i="1" s="1"/>
  <c r="F50" i="1"/>
  <c r="AE49" i="1"/>
  <c r="AD49" i="1"/>
  <c r="AC49" i="1"/>
  <c r="W49" i="1"/>
  <c r="T49" i="1"/>
  <c r="T52" i="1" s="1"/>
  <c r="N49" i="1"/>
  <c r="O49" i="1" s="1"/>
  <c r="F49" i="1"/>
  <c r="AE48" i="1"/>
  <c r="AD48" i="1"/>
  <c r="W48" i="1"/>
  <c r="W52" i="1" s="1"/>
  <c r="F48" i="1"/>
  <c r="O48" i="1" s="1"/>
  <c r="AB47" i="1"/>
  <c r="AA47" i="1"/>
  <c r="Z47" i="1"/>
  <c r="AD47" i="1" s="1"/>
  <c r="Y47" i="1"/>
  <c r="V47" i="1"/>
  <c r="U47" i="1"/>
  <c r="T47" i="1"/>
  <c r="S47" i="1"/>
  <c r="R47" i="1"/>
  <c r="Q47" i="1"/>
  <c r="P47" i="1"/>
  <c r="L47" i="1"/>
  <c r="I47" i="1"/>
  <c r="H47" i="1"/>
  <c r="D47" i="1"/>
  <c r="D175" i="1" s="1"/>
  <c r="AD46" i="1"/>
  <c r="AE46" i="1" s="1"/>
  <c r="AC46" i="1"/>
  <c r="W46" i="1"/>
  <c r="T46" i="1"/>
  <c r="O46" i="1"/>
  <c r="N46" i="1"/>
  <c r="J46" i="1"/>
  <c r="F46" i="1"/>
  <c r="AE45" i="1"/>
  <c r="AD45" i="1"/>
  <c r="AC45" i="1"/>
  <c r="W45" i="1"/>
  <c r="T45" i="1"/>
  <c r="N45" i="1"/>
  <c r="J45" i="1"/>
  <c r="F45" i="1"/>
  <c r="AD44" i="1"/>
  <c r="AE44" i="1" s="1"/>
  <c r="AC44" i="1"/>
  <c r="W44" i="1"/>
  <c r="T44" i="1"/>
  <c r="O44" i="1"/>
  <c r="N44" i="1"/>
  <c r="J44" i="1"/>
  <c r="F44" i="1"/>
  <c r="AE43" i="1"/>
  <c r="AD43" i="1"/>
  <c r="AC43" i="1"/>
  <c r="AC47" i="1" s="1"/>
  <c r="W43" i="1"/>
  <c r="T43" i="1"/>
  <c r="N43" i="1"/>
  <c r="J43" i="1"/>
  <c r="J47" i="1" s="1"/>
  <c r="F43" i="1"/>
  <c r="AD42" i="1"/>
  <c r="AE42" i="1" s="1"/>
  <c r="W42" i="1"/>
  <c r="W47" i="1" s="1"/>
  <c r="O42" i="1"/>
  <c r="F42" i="1"/>
  <c r="J41" i="1"/>
  <c r="AD40" i="1"/>
  <c r="AE40" i="1" s="1"/>
  <c r="AC40" i="1"/>
  <c r="W40" i="1"/>
  <c r="N40" i="1"/>
  <c r="K40" i="1"/>
  <c r="F40" i="1"/>
  <c r="AD39" i="1"/>
  <c r="AE39" i="1" s="1"/>
  <c r="AC39" i="1"/>
  <c r="W39" i="1"/>
  <c r="N39" i="1"/>
  <c r="L39" i="1"/>
  <c r="K39" i="1"/>
  <c r="J39" i="1"/>
  <c r="F39" i="1"/>
  <c r="AD38" i="1"/>
  <c r="AE38" i="1" s="1"/>
  <c r="AC38" i="1"/>
  <c r="W38" i="1"/>
  <c r="N38" i="1"/>
  <c r="J38" i="1"/>
  <c r="F38" i="1"/>
  <c r="AE37" i="1"/>
  <c r="AC37" i="1"/>
  <c r="W37" i="1"/>
  <c r="N37" i="1"/>
  <c r="K37" i="1"/>
  <c r="J37" i="1"/>
  <c r="F37" i="1"/>
  <c r="O37" i="1" s="1"/>
  <c r="AD36" i="1"/>
  <c r="AE36" i="1" s="1"/>
  <c r="AC36" i="1"/>
  <c r="W36" i="1"/>
  <c r="N36" i="1"/>
  <c r="J36" i="1"/>
  <c r="F36" i="1"/>
  <c r="AD35" i="1"/>
  <c r="AE35" i="1" s="1"/>
  <c r="AC35" i="1"/>
  <c r="W35" i="1"/>
  <c r="N35" i="1"/>
  <c r="L35" i="1"/>
  <c r="K35" i="1"/>
  <c r="J35" i="1"/>
  <c r="F35" i="1"/>
  <c r="AD34" i="1"/>
  <c r="AE34" i="1" s="1"/>
  <c r="AC34" i="1"/>
  <c r="W34" i="1"/>
  <c r="N34" i="1"/>
  <c r="O34" i="1" s="1"/>
  <c r="K34" i="1"/>
  <c r="J34" i="1"/>
  <c r="F34" i="1"/>
  <c r="AE33" i="1"/>
  <c r="AD33" i="1"/>
  <c r="AC33" i="1"/>
  <c r="W33" i="1"/>
  <c r="L33" i="1"/>
  <c r="N33" i="1" s="1"/>
  <c r="O33" i="1" s="1"/>
  <c r="K33" i="1"/>
  <c r="J33" i="1"/>
  <c r="F33" i="1"/>
  <c r="AE32" i="1"/>
  <c r="AD32" i="1"/>
  <c r="AC32" i="1"/>
  <c r="W32" i="1"/>
  <c r="S32" i="1"/>
  <c r="N32" i="1"/>
  <c r="L32" i="1"/>
  <c r="K32" i="1"/>
  <c r="J32" i="1"/>
  <c r="F32" i="1"/>
  <c r="AD31" i="1"/>
  <c r="AE31" i="1" s="1"/>
  <c r="AC31" i="1"/>
  <c r="W31" i="1"/>
  <c r="N31" i="1"/>
  <c r="J31" i="1"/>
  <c r="F31" i="1"/>
  <c r="AD30" i="1"/>
  <c r="AE30" i="1" s="1"/>
  <c r="AC30" i="1"/>
  <c r="W30" i="1"/>
  <c r="N30" i="1"/>
  <c r="L30" i="1"/>
  <c r="K30" i="1"/>
  <c r="J30" i="1"/>
  <c r="F30" i="1"/>
  <c r="AD29" i="1"/>
  <c r="AE29" i="1" s="1"/>
  <c r="AC29" i="1"/>
  <c r="W29" i="1"/>
  <c r="N29" i="1"/>
  <c r="J29" i="1"/>
  <c r="F29" i="1"/>
  <c r="AD28" i="1"/>
  <c r="AE28" i="1" s="1"/>
  <c r="AC28" i="1"/>
  <c r="W28" i="1"/>
  <c r="N28" i="1"/>
  <c r="O28" i="1" s="1"/>
  <c r="L28" i="1"/>
  <c r="K28" i="1"/>
  <c r="F28" i="1"/>
  <c r="AE27" i="1"/>
  <c r="AD27" i="1"/>
  <c r="AC27" i="1"/>
  <c r="AA27" i="1"/>
  <c r="W27" i="1"/>
  <c r="N27" i="1"/>
  <c r="L27" i="1"/>
  <c r="K27" i="1"/>
  <c r="J27" i="1"/>
  <c r="F27" i="1"/>
  <c r="AD26" i="1"/>
  <c r="AE26" i="1" s="1"/>
  <c r="AC26" i="1"/>
  <c r="W26" i="1"/>
  <c r="N26" i="1"/>
  <c r="L26" i="1"/>
  <c r="K26" i="1"/>
  <c r="J26" i="1"/>
  <c r="F26" i="1"/>
  <c r="AB25" i="1"/>
  <c r="AC25" i="1" s="1"/>
  <c r="AA25" i="1"/>
  <c r="W25" i="1"/>
  <c r="S25" i="1"/>
  <c r="O25" i="1"/>
  <c r="L25" i="1"/>
  <c r="N25" i="1" s="1"/>
  <c r="K25" i="1"/>
  <c r="J25" i="1"/>
  <c r="F25" i="1"/>
  <c r="AE24" i="1"/>
  <c r="AD24" i="1"/>
  <c r="AC24" i="1"/>
  <c r="W24" i="1"/>
  <c r="O24" i="1"/>
  <c r="N24" i="1"/>
  <c r="J24" i="1"/>
  <c r="F24" i="1"/>
  <c r="AE23" i="1"/>
  <c r="AD23" i="1"/>
  <c r="AC23" i="1"/>
  <c r="W23" i="1"/>
  <c r="O23" i="1"/>
  <c r="N23" i="1"/>
  <c r="J23" i="1"/>
  <c r="F23" i="1"/>
  <c r="AE22" i="1"/>
  <c r="AD22" i="1"/>
  <c r="AC22" i="1"/>
  <c r="W22" i="1"/>
  <c r="N22" i="1"/>
  <c r="K22" i="1"/>
  <c r="J22" i="1"/>
  <c r="F22" i="1"/>
  <c r="O22" i="1" s="1"/>
  <c r="AD21" i="1"/>
  <c r="AE21" i="1" s="1"/>
  <c r="AC21" i="1"/>
  <c r="W21" i="1"/>
  <c r="N21" i="1"/>
  <c r="J21" i="1"/>
  <c r="F21" i="1"/>
  <c r="AE20" i="1"/>
  <c r="AD20" i="1"/>
  <c r="AC20" i="1"/>
  <c r="W20" i="1"/>
  <c r="O20" i="1"/>
  <c r="N20" i="1"/>
  <c r="J20" i="1"/>
  <c r="F20" i="1"/>
  <c r="AE16" i="1"/>
  <c r="AD16" i="1"/>
  <c r="AC16" i="1"/>
  <c r="W16" i="1"/>
  <c r="O16" i="1"/>
  <c r="N16" i="1"/>
  <c r="J16" i="1"/>
  <c r="F16" i="1"/>
  <c r="AE15" i="1"/>
  <c r="AD15" i="1"/>
  <c r="AC15" i="1"/>
  <c r="W15" i="1"/>
  <c r="O15" i="1"/>
  <c r="N15" i="1"/>
  <c r="J15" i="1"/>
  <c r="F15" i="1"/>
  <c r="AE14" i="1"/>
  <c r="AD14" i="1"/>
  <c r="AC14" i="1"/>
  <c r="W14" i="1"/>
  <c r="O14" i="1"/>
  <c r="N14" i="1"/>
  <c r="J14" i="1"/>
  <c r="F14" i="1"/>
  <c r="AE13" i="1"/>
  <c r="AD13" i="1"/>
  <c r="AC13" i="1"/>
  <c r="W13" i="1"/>
  <c r="O13" i="1"/>
  <c r="N13" i="1"/>
  <c r="J13" i="1"/>
  <c r="F13" i="1"/>
  <c r="AE12" i="1"/>
  <c r="AD12" i="1"/>
  <c r="AC12" i="1"/>
  <c r="W12" i="1"/>
  <c r="O12" i="1"/>
  <c r="N12" i="1"/>
  <c r="J12" i="1"/>
  <c r="F12" i="1"/>
  <c r="AE11" i="1"/>
  <c r="AD11" i="1"/>
  <c r="AC11" i="1"/>
  <c r="W11" i="1"/>
  <c r="O11" i="1"/>
  <c r="N11" i="1"/>
  <c r="J11" i="1"/>
  <c r="F11" i="1"/>
  <c r="O26" i="1" l="1"/>
  <c r="L81" i="1"/>
  <c r="N73" i="1"/>
  <c r="O76" i="1"/>
  <c r="S81" i="1"/>
  <c r="O91" i="1"/>
  <c r="J177" i="1"/>
  <c r="O27" i="1"/>
  <c r="N47" i="1"/>
  <c r="O43" i="1"/>
  <c r="O45" i="1"/>
  <c r="O65" i="1"/>
  <c r="AB81" i="1"/>
  <c r="O98" i="1"/>
  <c r="O100" i="1"/>
  <c r="N102" i="1"/>
  <c r="S102" i="1"/>
  <c r="O106" i="1"/>
  <c r="O113" i="1"/>
  <c r="L114" i="1"/>
  <c r="O121" i="1"/>
  <c r="N138" i="1"/>
  <c r="N145" i="1"/>
  <c r="O140" i="1"/>
  <c r="O142" i="1"/>
  <c r="O144" i="1"/>
  <c r="O163" i="1"/>
  <c r="N172" i="1"/>
  <c r="O172" i="1" s="1"/>
  <c r="L173" i="1"/>
  <c r="L174" i="1" s="1"/>
  <c r="O21" i="1"/>
  <c r="AD25" i="1"/>
  <c r="AE25" i="1" s="1"/>
  <c r="O29" i="1"/>
  <c r="O30" i="1"/>
  <c r="O31" i="1"/>
  <c r="O32" i="1"/>
  <c r="O35" i="1"/>
  <c r="O36" i="1"/>
  <c r="O38" i="1"/>
  <c r="O39" i="1"/>
  <c r="O40" i="1"/>
  <c r="O51" i="1"/>
  <c r="T72" i="1"/>
  <c r="O68" i="1"/>
  <c r="O70" i="1"/>
  <c r="N72" i="1"/>
  <c r="T81" i="1"/>
  <c r="AA81" i="1"/>
  <c r="AD75" i="1"/>
  <c r="AE75" i="1" s="1"/>
  <c r="AD76" i="1"/>
  <c r="O78" i="1"/>
  <c r="O79" i="1"/>
  <c r="AD81" i="1"/>
  <c r="N87" i="1"/>
  <c r="O82" i="1"/>
  <c r="W87" i="1"/>
  <c r="O85" i="1"/>
  <c r="L87" i="1"/>
  <c r="N95" i="1"/>
  <c r="O89" i="1"/>
  <c r="O93" i="1"/>
  <c r="L95" i="1"/>
  <c r="O97" i="1"/>
  <c r="O99" i="1"/>
  <c r="N108" i="1"/>
  <c r="O110" i="1"/>
  <c r="O129" i="1"/>
  <c r="N133" i="1"/>
  <c r="N152" i="1"/>
  <c r="O146" i="1"/>
  <c r="O148" i="1"/>
  <c r="O150" i="1"/>
  <c r="O154" i="1"/>
  <c r="O156" i="1"/>
  <c r="O158" i="1"/>
  <c r="J168" i="1"/>
  <c r="T168" i="1"/>
  <c r="K114" i="1"/>
  <c r="N119" i="1"/>
  <c r="O115" i="1"/>
  <c r="W119" i="1"/>
  <c r="O118" i="1"/>
  <c r="J127" i="1"/>
  <c r="N127" i="1"/>
  <c r="T133" i="1"/>
  <c r="J133" i="1"/>
  <c r="O134" i="1"/>
  <c r="W161" i="1"/>
  <c r="W168" i="1"/>
  <c r="O166" i="1"/>
  <c r="N173" i="1"/>
  <c r="O73" i="1" l="1"/>
  <c r="N81" i="1"/>
</calcChain>
</file>

<file path=xl/sharedStrings.xml><?xml version="1.0" encoding="utf-8"?>
<sst xmlns="http://schemas.openxmlformats.org/spreadsheetml/2006/main" count="218" uniqueCount="173">
  <si>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2018 года</t>
  </si>
  <si>
    <t>Муниципальный район</t>
  </si>
  <si>
    <t>Муниципальные образования</t>
  </si>
  <si>
    <t>Численность населения по состоянию на 01.01.2017 г</t>
  </si>
  <si>
    <t xml:space="preserve">Норматив на содержание ОМС на 2018 год, установленные по пост. Прав-ва от 15.03.2011 № 65-п </t>
  </si>
  <si>
    <t>Расходы на содержание ОМСУ исходя из норматива на 2018 год установленные по пост. Прав-ва Ив.обл от 15.03.2011 № 65-п</t>
  </si>
  <si>
    <t xml:space="preserve"> Утвержденные расходы на содержание органов местного самоупарвления (без КДН) всего по состоянию на 31.12.2018</t>
  </si>
  <si>
    <t xml:space="preserve">В том числе </t>
  </si>
  <si>
    <t>Переданные полномочия</t>
  </si>
  <si>
    <t xml:space="preserve">Компенсации в связи с прекращением полномочий выборному лицу местного самоуправления, осуществляющему свои полномочия на постоянной основе и в этот период достигшему пенсионного возраста или потерявшему трудоспособностьустановленные статьей 9 Закона Ивановской области от 18.03.2009 N 29-ОЗ  и уставом муниципального образования Ивановской области 
</t>
  </si>
  <si>
    <r>
      <t>ИТОГО Утвержденные расходы на содержание органов местного самоуправления в бюджетах муниципальных образований  по состоянию на 31</t>
    </r>
    <r>
      <rPr>
        <b/>
        <sz val="12"/>
        <rFont val="Times New Roman"/>
        <family val="1"/>
        <charset val="204"/>
      </rPr>
      <t>.12.2018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</si>
  <si>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</si>
  <si>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</si>
  <si>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</si>
  <si>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</si>
  <si>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</si>
  <si>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</si>
  <si>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</si>
  <si>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2018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</si>
  <si>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</si>
  <si>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</si>
  <si>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</si>
  <si>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31</t>
    </r>
    <r>
      <rPr>
        <b/>
        <sz val="12"/>
        <rFont val="Times New Roman"/>
        <family val="1"/>
        <charset val="204"/>
      </rPr>
      <t>.12.2018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</si>
  <si>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</si>
  <si>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</si>
  <si>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</si>
  <si>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</si>
  <si>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</si>
  <si>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</si>
  <si>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</si>
  <si>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</si>
  <si>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</si>
  <si>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</si>
  <si>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</si>
  <si>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</si>
  <si>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</si>
  <si>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</si>
  <si>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</si>
  <si>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</si>
  <si>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</si>
  <si>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</si>
  <si>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</si>
  <si>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</si>
  <si>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</si>
  <si>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</si>
  <si>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</si>
  <si>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</si>
  <si>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</si>
  <si>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</si>
  <si>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</si>
  <si>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</si>
  <si>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</si>
  <si>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</si>
  <si>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</si>
  <si>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</si>
  <si>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</si>
  <si>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</si>
  <si>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</si>
  <si>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</si>
  <si>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</si>
  <si>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</si>
  <si>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</si>
  <si>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</si>
  <si>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</si>
  <si>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</si>
  <si>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</si>
  <si>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</si>
  <si>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</si>
  <si>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</si>
  <si>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</si>
  <si>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</si>
  <si>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</si>
  <si>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</si>
  <si>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</si>
  <si>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</si>
  <si>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</si>
  <si>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</si>
  <si>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</si>
  <si>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</si>
  <si>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</si>
  <si>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</si>
  <si>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</si>
  <si>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</si>
  <si>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</si>
  <si>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</si>
  <si>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</si>
  <si>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</si>
  <si>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</si>
  <si>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</si>
  <si>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</si>
  <si>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</si>
  <si>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</si>
  <si>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Куликовское с/п</t>
  </si>
  <si>
    <t>Озерновское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</si>
  <si>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</si>
  <si>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</si>
  <si>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</si>
  <si>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</si>
  <si>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</si>
  <si>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</si>
  <si>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</si>
  <si>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</si>
  <si>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</si>
  <si>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</si>
  <si>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</si>
  <si>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</si>
  <si>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</si>
  <si>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</si>
  <si>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</si>
  <si>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</si>
  <si>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</si>
  <si>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</si>
  <si>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</si>
  <si>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</si>
  <si>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</si>
  <si>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</si>
  <si>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Ново-Горкинское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</si>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</sst>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00_)"/>
    <numFmt numFmtId="170" formatCode="#,##0.000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i/>
      <u/>
      <sz val="12"/>
      <name val="Times New Roman Cyr"/>
      <charset val="204"/>
    </font>
    <font>
      <sz val="10"/>
      <name val="Arial Cyr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color indexed="8"/>
      <name val="Times New Roman Cyr"/>
      <family val="1"/>
      <charset val="204"/>
    </font>
    <font>
      <u/>
      <sz val="8"/>
      <name val="Arial Cyr"/>
      <charset val="204"/>
    </font>
    <font>
      <sz val="8"/>
      <name val="Arial Cyr"/>
      <charset val="204"/>
    </font>
    <font>
      <i/>
      <sz val="12"/>
      <name val="Times New Roman Cyr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 Cyr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/>
    <xf numFmtId="164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9" fillId="0" borderId="7" xfId="0" applyFont="1" applyFill="1" applyBorder="1"/>
    <xf numFmtId="0" fontId="0" fillId="0" borderId="7" xfId="0" applyFill="1" applyBorder="1"/>
    <xf numFmtId="166" fontId="6" fillId="0" borderId="7" xfId="0" applyNumberFormat="1" applyFont="1" applyFill="1" applyBorder="1"/>
    <xf numFmtId="1" fontId="0" fillId="0" borderId="7" xfId="0" applyNumberFormat="1" applyFill="1" applyBorder="1"/>
    <xf numFmtId="165" fontId="0" fillId="0" borderId="7" xfId="0" applyNumberFormat="1" applyFill="1" applyBorder="1"/>
    <xf numFmtId="0" fontId="0" fillId="0" borderId="8" xfId="0" applyFill="1" applyBorder="1"/>
    <xf numFmtId="0" fontId="0" fillId="0" borderId="0" xfId="0" applyBorder="1"/>
    <xf numFmtId="0" fontId="0" fillId="0" borderId="9" xfId="0" applyFill="1" applyBorder="1"/>
    <xf numFmtId="0" fontId="1" fillId="0" borderId="1" xfId="1" applyFill="1" applyBorder="1"/>
    <xf numFmtId="164" fontId="10" fillId="0" borderId="1" xfId="2" applyNumberFormat="1" applyFill="1" applyBorder="1"/>
    <xf numFmtId="165" fontId="10" fillId="0" borderId="1" xfId="2" applyNumberFormat="1" applyFill="1" applyBorder="1"/>
    <xf numFmtId="0" fontId="10" fillId="0" borderId="1" xfId="2" applyFont="1" applyFill="1" applyBorder="1"/>
    <xf numFmtId="167" fontId="5" fillId="0" borderId="1" xfId="2" applyNumberFormat="1" applyFont="1" applyFill="1" applyBorder="1" applyAlignment="1" applyProtection="1">
      <alignment vertical="top"/>
    </xf>
    <xf numFmtId="167" fontId="1" fillId="0" borderId="1" xfId="3" applyNumberFormat="1" applyFont="1" applyFill="1" applyBorder="1"/>
    <xf numFmtId="0" fontId="10" fillId="0" borderId="1" xfId="2" applyFill="1" applyBorder="1"/>
    <xf numFmtId="166" fontId="6" fillId="0" borderId="1" xfId="2" applyNumberFormat="1" applyFont="1" applyFill="1" applyBorder="1"/>
    <xf numFmtId="1" fontId="10" fillId="0" borderId="1" xfId="2" applyNumberFormat="1" applyFill="1" applyBorder="1"/>
    <xf numFmtId="0" fontId="0" fillId="0" borderId="1" xfId="0" applyFill="1" applyBorder="1"/>
    <xf numFmtId="167" fontId="0" fillId="0" borderId="1" xfId="0" applyNumberFormat="1" applyFill="1" applyBorder="1"/>
    <xf numFmtId="165" fontId="0" fillId="0" borderId="1" xfId="0" applyNumberFormat="1" applyFill="1" applyBorder="1"/>
    <xf numFmtId="167" fontId="0" fillId="0" borderId="10" xfId="0" applyNumberFormat="1" applyFill="1" applyBorder="1"/>
    <xf numFmtId="168" fontId="6" fillId="0" borderId="1" xfId="2" applyNumberFormat="1" applyFont="1" applyFill="1" applyBorder="1"/>
    <xf numFmtId="166" fontId="10" fillId="0" borderId="1" xfId="2" applyNumberFormat="1" applyFill="1" applyBorder="1"/>
    <xf numFmtId="167" fontId="0" fillId="0" borderId="1" xfId="0" applyNumberFormat="1" applyFont="1" applyFill="1" applyBorder="1"/>
    <xf numFmtId="0" fontId="0" fillId="0" borderId="11" xfId="0" applyFill="1" applyBorder="1"/>
    <xf numFmtId="0" fontId="1" fillId="0" borderId="12" xfId="1" applyFill="1" applyBorder="1"/>
    <xf numFmtId="164" fontId="10" fillId="0" borderId="12" xfId="2" applyNumberFormat="1" applyFill="1" applyBorder="1"/>
    <xf numFmtId="165" fontId="10" fillId="0" borderId="12" xfId="2" applyNumberFormat="1" applyFill="1" applyBorder="1"/>
    <xf numFmtId="0" fontId="10" fillId="0" borderId="12" xfId="2" applyFont="1" applyFill="1" applyBorder="1"/>
    <xf numFmtId="167" fontId="5" fillId="0" borderId="12" xfId="2" applyNumberFormat="1" applyFont="1" applyFill="1" applyBorder="1" applyAlignment="1" applyProtection="1">
      <alignment vertical="top"/>
    </xf>
    <xf numFmtId="167" fontId="1" fillId="0" borderId="12" xfId="3" applyNumberFormat="1" applyFont="1" applyFill="1" applyBorder="1"/>
    <xf numFmtId="0" fontId="10" fillId="0" borderId="12" xfId="2" applyFill="1" applyBorder="1"/>
    <xf numFmtId="166" fontId="6" fillId="0" borderId="12" xfId="2" applyNumberFormat="1" applyFont="1" applyFill="1" applyBorder="1"/>
    <xf numFmtId="1" fontId="10" fillId="0" borderId="12" xfId="2" applyNumberFormat="1" applyFill="1" applyBorder="1"/>
    <xf numFmtId="0" fontId="0" fillId="0" borderId="12" xfId="0" applyFill="1" applyBorder="1"/>
    <xf numFmtId="167" fontId="0" fillId="0" borderId="12" xfId="0" applyNumberFormat="1" applyFill="1" applyBorder="1"/>
    <xf numFmtId="165" fontId="0" fillId="0" borderId="12" xfId="0" applyNumberFormat="1" applyFill="1" applyBorder="1"/>
    <xf numFmtId="167" fontId="0" fillId="0" borderId="13" xfId="0" applyNumberFormat="1" applyFill="1" applyBorder="1"/>
    <xf numFmtId="0" fontId="1" fillId="0" borderId="5" xfId="1" applyFill="1" applyBorder="1"/>
    <xf numFmtId="0" fontId="9" fillId="0" borderId="5" xfId="0" applyFont="1" applyFill="1" applyBorder="1"/>
    <xf numFmtId="164" fontId="10" fillId="0" borderId="5" xfId="2" applyNumberFormat="1" applyFill="1" applyBorder="1"/>
    <xf numFmtId="165" fontId="10" fillId="0" borderId="5" xfId="2" applyNumberFormat="1" applyFill="1" applyBorder="1"/>
    <xf numFmtId="0" fontId="10" fillId="0" borderId="5" xfId="2" applyFont="1" applyFill="1" applyBorder="1"/>
    <xf numFmtId="167" fontId="5" fillId="0" borderId="5" xfId="2" applyNumberFormat="1" applyFont="1" applyFill="1" applyBorder="1" applyAlignment="1" applyProtection="1">
      <alignment vertical="top"/>
    </xf>
    <xf numFmtId="167" fontId="1" fillId="0" borderId="5" xfId="3" applyNumberFormat="1" applyFont="1" applyFill="1" applyBorder="1"/>
    <xf numFmtId="0" fontId="10" fillId="0" borderId="5" xfId="2" applyFill="1" applyBorder="1"/>
    <xf numFmtId="166" fontId="6" fillId="0" borderId="5" xfId="2" applyNumberFormat="1" applyFont="1" applyFill="1" applyBorder="1"/>
    <xf numFmtId="1" fontId="10" fillId="0" borderId="5" xfId="2" applyNumberFormat="1" applyFill="1" applyBorder="1"/>
    <xf numFmtId="0" fontId="0" fillId="0" borderId="5" xfId="0" applyFill="1" applyBorder="1"/>
    <xf numFmtId="167" fontId="0" fillId="0" borderId="5" xfId="0" applyNumberFormat="1" applyFill="1" applyBorder="1"/>
    <xf numFmtId="165" fontId="0" fillId="0" borderId="5" xfId="0" applyNumberFormat="1" applyFill="1" applyBorder="1"/>
    <xf numFmtId="0" fontId="1" fillId="0" borderId="6" xfId="1" applyFill="1" applyBorder="1"/>
    <xf numFmtId="164" fontId="10" fillId="0" borderId="7" xfId="2" applyNumberFormat="1" applyFill="1" applyBorder="1"/>
    <xf numFmtId="165" fontId="10" fillId="0" borderId="7" xfId="2" applyNumberFormat="1" applyFill="1" applyBorder="1"/>
    <xf numFmtId="0" fontId="10" fillId="0" borderId="7" xfId="2" applyFont="1" applyFill="1" applyBorder="1"/>
    <xf numFmtId="167" fontId="5" fillId="0" borderId="7" xfId="2" applyNumberFormat="1" applyFont="1" applyFill="1" applyBorder="1" applyAlignment="1" applyProtection="1">
      <alignment vertical="top"/>
    </xf>
    <xf numFmtId="167" fontId="1" fillId="0" borderId="7" xfId="3" applyNumberFormat="1" applyFont="1" applyFill="1" applyBorder="1"/>
    <xf numFmtId="0" fontId="10" fillId="0" borderId="7" xfId="2" applyFill="1" applyBorder="1"/>
    <xf numFmtId="166" fontId="6" fillId="0" borderId="7" xfId="2" applyNumberFormat="1" applyFont="1" applyFill="1" applyBorder="1"/>
    <xf numFmtId="1" fontId="10" fillId="0" borderId="7" xfId="2" applyNumberFormat="1" applyFill="1" applyBorder="1"/>
    <xf numFmtId="167" fontId="0" fillId="0" borderId="7" xfId="0" applyNumberFormat="1" applyFill="1" applyBorder="1"/>
    <xf numFmtId="167" fontId="0" fillId="0" borderId="8" xfId="0" applyNumberFormat="1" applyFill="1" applyBorder="1"/>
    <xf numFmtId="0" fontId="1" fillId="0" borderId="9" xfId="1" applyFill="1" applyBorder="1"/>
    <xf numFmtId="0" fontId="9" fillId="0" borderId="1" xfId="0" applyFont="1" applyFill="1" applyBorder="1"/>
    <xf numFmtId="0" fontId="11" fillId="0" borderId="1" xfId="0" applyFont="1" applyFill="1" applyBorder="1"/>
    <xf numFmtId="0" fontId="1" fillId="0" borderId="1" xfId="3" applyFont="1" applyFill="1" applyBorder="1"/>
    <xf numFmtId="0" fontId="12" fillId="0" borderId="1" xfId="0" applyFont="1" applyFill="1" applyBorder="1"/>
    <xf numFmtId="0" fontId="1" fillId="0" borderId="1" xfId="2" applyFont="1" applyFill="1" applyBorder="1"/>
    <xf numFmtId="0" fontId="13" fillId="0" borderId="1" xfId="0" applyFont="1" applyFill="1" applyBorder="1"/>
    <xf numFmtId="0" fontId="11" fillId="0" borderId="1" xfId="0" applyFont="1" applyFill="1" applyBorder="1" applyAlignment="1">
      <alignment wrapText="1"/>
    </xf>
    <xf numFmtId="167" fontId="1" fillId="0" borderId="1" xfId="2" applyNumberFormat="1" applyFont="1" applyFill="1" applyBorder="1"/>
    <xf numFmtId="0" fontId="0" fillId="0" borderId="1" xfId="2" applyFont="1" applyFill="1" applyBorder="1"/>
    <xf numFmtId="0" fontId="7" fillId="0" borderId="1" xfId="0" applyFont="1" applyFill="1" applyBorder="1"/>
    <xf numFmtId="0" fontId="7" fillId="0" borderId="1" xfId="1" applyFont="1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169" fontId="11" fillId="0" borderId="1" xfId="0" applyNumberFormat="1" applyFont="1" applyFill="1" applyBorder="1"/>
    <xf numFmtId="0" fontId="1" fillId="0" borderId="1" xfId="1" applyFont="1" applyFill="1" applyBorder="1"/>
    <xf numFmtId="0" fontId="1" fillId="0" borderId="11" xfId="1" applyFill="1" applyBorder="1"/>
    <xf numFmtId="0" fontId="13" fillId="0" borderId="12" xfId="0" applyFont="1" applyFill="1" applyBorder="1"/>
    <xf numFmtId="165" fontId="10" fillId="0" borderId="12" xfId="2" applyNumberFormat="1" applyFont="1" applyFill="1" applyBorder="1"/>
    <xf numFmtId="0" fontId="1" fillId="0" borderId="12" xfId="2" applyFont="1" applyFill="1" applyBorder="1"/>
    <xf numFmtId="0" fontId="0" fillId="0" borderId="0" xfId="0" applyFill="1"/>
    <xf numFmtId="0" fontId="14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167" fontId="1" fillId="0" borderId="5" xfId="0" applyNumberFormat="1" applyFont="1" applyFill="1" applyBorder="1"/>
    <xf numFmtId="168" fontId="0" fillId="0" borderId="5" xfId="0" applyNumberFormat="1" applyFill="1" applyBorder="1"/>
    <xf numFmtId="0" fontId="15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/>
    <xf numFmtId="0" fontId="1" fillId="0" borderId="7" xfId="4" applyFont="1" applyFill="1" applyBorder="1"/>
    <xf numFmtId="0" fontId="1" fillId="0" borderId="7" xfId="4" applyFill="1" applyBorder="1"/>
    <xf numFmtId="0" fontId="15" fillId="0" borderId="9" xfId="0" applyFont="1" applyFill="1" applyBorder="1" applyAlignment="1">
      <alignment horizontal="center" vertical="center" wrapText="1"/>
    </xf>
    <xf numFmtId="0" fontId="11" fillId="0" borderId="1" xfId="3" applyFont="1" applyFill="1" applyBorder="1"/>
    <xf numFmtId="0" fontId="1" fillId="0" borderId="1" xfId="4" applyFont="1" applyFill="1" applyBorder="1"/>
    <xf numFmtId="0" fontId="1" fillId="0" borderId="1" xfId="3" applyFill="1" applyBorder="1"/>
    <xf numFmtId="0" fontId="15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/>
    <xf numFmtId="164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" fontId="1" fillId="0" borderId="12" xfId="0" applyNumberFormat="1" applyFont="1" applyFill="1" applyBorder="1" applyAlignment="1">
      <alignment horizontal="right"/>
    </xf>
    <xf numFmtId="0" fontId="12" fillId="0" borderId="7" xfId="0" applyFont="1" applyFill="1" applyBorder="1"/>
    <xf numFmtId="0" fontId="1" fillId="0" borderId="7" xfId="3" applyFont="1" applyFill="1" applyBorder="1"/>
    <xf numFmtId="0" fontId="0" fillId="0" borderId="1" xfId="3" applyFont="1" applyFill="1" applyBorder="1"/>
    <xf numFmtId="0" fontId="1" fillId="0" borderId="12" xfId="0" applyFont="1" applyFill="1" applyBorder="1" applyAlignment="1">
      <alignment horizontal="right"/>
    </xf>
    <xf numFmtId="2" fontId="1" fillId="0" borderId="12" xfId="0" applyNumberFormat="1" applyFont="1" applyFill="1" applyBorder="1" applyAlignment="1">
      <alignment horizontal="right"/>
    </xf>
    <xf numFmtId="0" fontId="0" fillId="0" borderId="1" xfId="4" applyFont="1" applyFill="1" applyBorder="1"/>
    <xf numFmtId="0" fontId="1" fillId="0" borderId="1" xfId="4" applyFill="1" applyBorder="1"/>
    <xf numFmtId="0" fontId="16" fillId="0" borderId="1" xfId="0" applyFont="1" applyFill="1" applyBorder="1"/>
    <xf numFmtId="1" fontId="0" fillId="0" borderId="1" xfId="0" applyNumberFormat="1" applyFont="1" applyFill="1" applyBorder="1"/>
    <xf numFmtId="0" fontId="11" fillId="0" borderId="7" xfId="0" applyFont="1" applyFill="1" applyBorder="1" applyAlignment="1">
      <alignment wrapText="1"/>
    </xf>
    <xf numFmtId="0" fontId="1" fillId="0" borderId="7" xfId="2" applyFont="1" applyFill="1" applyBorder="1"/>
    <xf numFmtId="0" fontId="16" fillId="0" borderId="1" xfId="0" applyFont="1" applyFill="1" applyBorder="1" applyAlignment="1"/>
    <xf numFmtId="164" fontId="17" fillId="0" borderId="12" xfId="0" applyNumberFormat="1" applyFont="1" applyFill="1" applyBorder="1" applyAlignment="1">
      <alignment horizontal="right" vertical="center" wrapText="1"/>
    </xf>
    <xf numFmtId="167" fontId="17" fillId="0" borderId="12" xfId="0" applyNumberFormat="1" applyFont="1" applyFill="1" applyBorder="1" applyAlignment="1">
      <alignment horizontal="right" vertical="center" wrapText="1"/>
    </xf>
    <xf numFmtId="166" fontId="17" fillId="0" borderId="12" xfId="0" applyNumberFormat="1" applyFont="1" applyFill="1" applyBorder="1" applyAlignment="1">
      <alignment horizontal="right" vertical="center" wrapText="1"/>
    </xf>
    <xf numFmtId="1" fontId="17" fillId="0" borderId="12" xfId="0" applyNumberFormat="1" applyFont="1" applyFill="1" applyBorder="1" applyAlignment="1">
      <alignment horizontal="right" vertical="center" wrapText="1"/>
    </xf>
    <xf numFmtId="0" fontId="18" fillId="0" borderId="1" xfId="3" applyFont="1" applyFill="1" applyBorder="1"/>
    <xf numFmtId="0" fontId="1" fillId="0" borderId="7" xfId="3" applyFill="1" applyBorder="1"/>
    <xf numFmtId="164" fontId="0" fillId="0" borderId="12" xfId="0" applyNumberFormat="1" applyFill="1" applyBorder="1"/>
    <xf numFmtId="166" fontId="0" fillId="0" borderId="12" xfId="0" applyNumberFormat="1" applyFill="1" applyBorder="1"/>
    <xf numFmtId="1" fontId="0" fillId="0" borderId="12" xfId="0" applyNumberFormat="1" applyFill="1" applyBorder="1"/>
    <xf numFmtId="167" fontId="5" fillId="2" borderId="1" xfId="2" applyNumberFormat="1" applyFont="1" applyFill="1" applyBorder="1" applyAlignment="1" applyProtection="1">
      <alignment vertical="top"/>
    </xf>
    <xf numFmtId="2" fontId="0" fillId="0" borderId="12" xfId="0" applyNumberFormat="1" applyFill="1" applyBorder="1"/>
    <xf numFmtId="0" fontId="15" fillId="0" borderId="14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166" fontId="1" fillId="0" borderId="7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3" fillId="0" borderId="7" xfId="0" applyFont="1" applyFill="1" applyBorder="1"/>
    <xf numFmtId="0" fontId="16" fillId="0" borderId="1" xfId="3" applyFont="1" applyFill="1" applyBorder="1"/>
    <xf numFmtId="0" fontId="19" fillId="0" borderId="1" xfId="3" applyFont="1" applyFill="1" applyBorder="1"/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5" fontId="0" fillId="0" borderId="7" xfId="4" applyNumberFormat="1" applyFont="1" applyFill="1" applyBorder="1"/>
    <xf numFmtId="1" fontId="1" fillId="0" borderId="7" xfId="2" applyNumberFormat="1" applyFont="1" applyFill="1" applyBorder="1"/>
    <xf numFmtId="165" fontId="1" fillId="0" borderId="1" xfId="3" applyNumberFormat="1" applyFont="1" applyFill="1" applyBorder="1"/>
    <xf numFmtId="165" fontId="1" fillId="0" borderId="1" xfId="2" applyNumberFormat="1" applyFont="1" applyFill="1" applyBorder="1" applyAlignment="1" applyProtection="1">
      <alignment vertical="top"/>
    </xf>
    <xf numFmtId="0" fontId="1" fillId="0" borderId="1" xfId="2" applyNumberFormat="1" applyFont="1" applyFill="1" applyBorder="1" applyAlignment="1" applyProtection="1">
      <alignment vertical="top"/>
    </xf>
    <xf numFmtId="0" fontId="10" fillId="0" borderId="1" xfId="2" applyNumberFormat="1" applyFont="1" applyFill="1" applyBorder="1" applyAlignment="1" applyProtection="1">
      <alignment vertical="top"/>
    </xf>
    <xf numFmtId="1" fontId="1" fillId="0" borderId="1" xfId="2" applyNumberFormat="1" applyFont="1" applyFill="1" applyBorder="1"/>
    <xf numFmtId="165" fontId="0" fillId="0" borderId="12" xfId="0" applyNumberFormat="1" applyFont="1" applyFill="1" applyBorder="1" applyAlignment="1">
      <alignment horizontal="right"/>
    </xf>
    <xf numFmtId="0" fontId="13" fillId="0" borderId="1" xfId="3" applyFont="1" applyFill="1" applyBorder="1"/>
    <xf numFmtId="0" fontId="15" fillId="0" borderId="14" xfId="0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right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9" fontId="11" fillId="0" borderId="1" xfId="3" applyNumberFormat="1" applyFont="1" applyFill="1" applyBorder="1"/>
    <xf numFmtId="169" fontId="16" fillId="0" borderId="1" xfId="3" applyNumberFormat="1" applyFont="1" applyFill="1" applyBorder="1"/>
    <xf numFmtId="1" fontId="6" fillId="0" borderId="1" xfId="0" applyNumberFormat="1" applyFont="1" applyFill="1" applyBorder="1"/>
    <xf numFmtId="0" fontId="0" fillId="0" borderId="11" xfId="0" applyFill="1" applyBorder="1" applyAlignment="1">
      <alignment horizontal="center" vertical="center"/>
    </xf>
    <xf numFmtId="0" fontId="7" fillId="0" borderId="7" xfId="0" applyFont="1" applyFill="1" applyBorder="1"/>
    <xf numFmtId="0" fontId="12" fillId="0" borderId="1" xfId="3" applyFont="1" applyFill="1" applyBorder="1"/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164" fontId="0" fillId="0" borderId="0" xfId="0" applyNumberFormat="1" applyFill="1" applyBorder="1"/>
    <xf numFmtId="165" fontId="10" fillId="0" borderId="0" xfId="2" applyNumberForma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1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167" fontId="1" fillId="0" borderId="0" xfId="0" applyNumberFormat="1" applyFont="1" applyFill="1" applyBorder="1"/>
    <xf numFmtId="170" fontId="0" fillId="0" borderId="0" xfId="0" applyNumberFormat="1" applyFill="1" applyBorder="1"/>
    <xf numFmtId="168" fontId="6" fillId="0" borderId="0" xfId="0" applyNumberFormat="1" applyFont="1" applyFill="1" applyBorder="1"/>
    <xf numFmtId="166" fontId="6" fillId="0" borderId="0" xfId="0" applyNumberFormat="1" applyFont="1" applyFill="1" applyBorder="1"/>
    <xf numFmtId="0" fontId="15" fillId="0" borderId="0" xfId="0" applyFont="1" applyFill="1" applyBorder="1"/>
    <xf numFmtId="0" fontId="4" fillId="0" borderId="0" xfId="0" applyFont="1" applyFill="1" applyBorder="1"/>
    <xf numFmtId="4" fontId="1" fillId="0" borderId="0" xfId="0" applyNumberFormat="1" applyFont="1" applyFill="1" applyBorder="1"/>
    <xf numFmtId="0" fontId="20" fillId="0" borderId="0" xfId="0" applyFont="1" applyFill="1" applyBorder="1"/>
    <xf numFmtId="0" fontId="9" fillId="0" borderId="0" xfId="0" applyFont="1" applyFill="1" applyBorder="1"/>
    <xf numFmtId="0" fontId="21" fillId="0" borderId="0" xfId="0" applyFont="1" applyFill="1" applyBorder="1"/>
    <xf numFmtId="0" fontId="11" fillId="0" borderId="0" xfId="0" applyFont="1" applyFill="1" applyBorder="1"/>
    <xf numFmtId="0" fontId="16" fillId="0" borderId="0" xfId="0" applyFon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0"/>
  <sheetViews>
    <sheetView tabSelected="1" topLeftCell="B1" zoomScale="98" zoomScaleNormal="98" workbookViewId="0">
      <pane xSplit="2" ySplit="9" topLeftCell="F10" activePane="bottomRight" state="frozen"/>
      <selection activeCell="B1" sqref="B1"/>
      <selection pane="topRight" activeCell="O1" sqref="O1"/>
      <selection pane="bottomLeft" activeCell="B7" sqref="B7"/>
      <selection pane="bottomRight" activeCell="AJ9" sqref="AJ9"/>
    </sheetView>
  </sheetViews>
  <sheetFormatPr defaultRowHeight="12.75" x14ac:dyDescent="0.2"/>
  <cols>
    <col min="1" max="1" width="3.28515625" customWidth="1"/>
    <col min="2" max="2" width="15.85546875" style="197" customWidth="1"/>
    <col min="3" max="3" width="29" style="197" customWidth="1"/>
    <col min="4" max="5" width="15.140625" style="197" hidden="1" customWidth="1"/>
    <col min="6" max="6" width="15.140625" style="197" customWidth="1"/>
    <col min="7" max="7" width="12.5703125" style="197" hidden="1" customWidth="1"/>
    <col min="8" max="8" width="10" style="197" hidden="1" customWidth="1"/>
    <col min="9" max="9" width="10.140625" style="197" hidden="1" customWidth="1"/>
    <col min="10" max="10" width="11.85546875" style="197" hidden="1" customWidth="1"/>
    <col min="11" max="11" width="11.140625" style="197" hidden="1" customWidth="1"/>
    <col min="12" max="12" width="17.140625" style="197" hidden="1" customWidth="1"/>
    <col min="13" max="13" width="19.7109375" style="197" hidden="1" customWidth="1"/>
    <col min="14" max="14" width="18.7109375" style="197" customWidth="1"/>
    <col min="15" max="15" width="13.7109375" style="197" customWidth="1"/>
    <col min="16" max="16" width="12.140625" style="197" hidden="1" customWidth="1"/>
    <col min="17" max="18" width="11.28515625" style="197" hidden="1" customWidth="1"/>
    <col min="19" max="20" width="11.5703125" style="197" hidden="1" customWidth="1"/>
    <col min="21" max="21" width="13.85546875" style="197" hidden="1" customWidth="1"/>
    <col min="22" max="22" width="11.42578125" style="197" hidden="1" customWidth="1"/>
    <col min="23" max="23" width="13.5703125" style="202" hidden="1" customWidth="1"/>
    <col min="24" max="24" width="28.28515625" style="195" customWidth="1"/>
    <col min="25" max="25" width="12.28515625" style="197" hidden="1" customWidth="1"/>
    <col min="26" max="26" width="12.140625" style="197" hidden="1" customWidth="1"/>
    <col min="27" max="27" width="12.85546875" style="197" hidden="1" customWidth="1"/>
    <col min="28" max="28" width="11.140625" style="197" hidden="1" customWidth="1"/>
    <col min="29" max="29" width="14.5703125" style="197" hidden="1" customWidth="1"/>
    <col min="30" max="30" width="18.28515625" style="193" customWidth="1"/>
    <col min="31" max="31" width="13" style="197" customWidth="1"/>
  </cols>
  <sheetData>
    <row r="1" spans="2:3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2:3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31" ht="10.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2:31" ht="42" customHeight="1" x14ac:dyDescent="0.2">
      <c r="B4" s="2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7" t="s">
        <v>6</v>
      </c>
      <c r="H4" s="8" t="s">
        <v>7</v>
      </c>
      <c r="I4" s="9"/>
      <c r="J4" s="9"/>
      <c r="K4" s="10" t="s">
        <v>8</v>
      </c>
      <c r="L4" s="11"/>
      <c r="M4" s="12" t="s">
        <v>9</v>
      </c>
      <c r="N4" s="6" t="s">
        <v>10</v>
      </c>
      <c r="O4" s="13" t="s">
        <v>11</v>
      </c>
      <c r="P4" s="8" t="s">
        <v>12</v>
      </c>
      <c r="Q4" s="8" t="s">
        <v>7</v>
      </c>
      <c r="R4" s="9"/>
      <c r="S4" s="8" t="s">
        <v>13</v>
      </c>
      <c r="T4" s="8" t="s">
        <v>14</v>
      </c>
      <c r="U4" s="12" t="s">
        <v>15</v>
      </c>
      <c r="V4" s="8" t="s">
        <v>16</v>
      </c>
      <c r="W4" s="14" t="s">
        <v>17</v>
      </c>
      <c r="X4" s="15" t="s">
        <v>18</v>
      </c>
      <c r="Y4" s="8" t="s">
        <v>19</v>
      </c>
      <c r="Z4" s="8" t="s">
        <v>20</v>
      </c>
      <c r="AA4" s="13" t="s">
        <v>21</v>
      </c>
      <c r="AB4" s="13"/>
      <c r="AC4" s="16" t="s">
        <v>11</v>
      </c>
      <c r="AD4" s="6" t="s">
        <v>22</v>
      </c>
      <c r="AE4" s="16" t="s">
        <v>11</v>
      </c>
    </row>
    <row r="5" spans="2:31" ht="14.25" customHeight="1" x14ac:dyDescent="0.2">
      <c r="B5" s="17"/>
      <c r="C5" s="18"/>
      <c r="D5" s="4"/>
      <c r="E5" s="5"/>
      <c r="F5" s="6"/>
      <c r="G5" s="9"/>
      <c r="H5" s="8" t="s">
        <v>23</v>
      </c>
      <c r="I5" s="8" t="s">
        <v>24</v>
      </c>
      <c r="J5" s="8" t="s">
        <v>25</v>
      </c>
      <c r="K5" s="12" t="s">
        <v>26</v>
      </c>
      <c r="L5" s="8" t="s">
        <v>27</v>
      </c>
      <c r="M5" s="19"/>
      <c r="N5" s="6"/>
      <c r="O5" s="13"/>
      <c r="P5" s="8"/>
      <c r="Q5" s="8" t="s">
        <v>23</v>
      </c>
      <c r="R5" s="8" t="s">
        <v>24</v>
      </c>
      <c r="S5" s="8"/>
      <c r="T5" s="8"/>
      <c r="U5" s="19"/>
      <c r="V5" s="8"/>
      <c r="W5" s="14"/>
      <c r="X5" s="15"/>
      <c r="Y5" s="8"/>
      <c r="Z5" s="8"/>
      <c r="AA5" s="8" t="s">
        <v>28</v>
      </c>
      <c r="AB5" s="8" t="s">
        <v>29</v>
      </c>
      <c r="AC5" s="16"/>
      <c r="AD5" s="6"/>
      <c r="AE5" s="16"/>
    </row>
    <row r="6" spans="2:31" ht="26.25" customHeight="1" x14ac:dyDescent="0.2">
      <c r="B6" s="17"/>
      <c r="C6" s="18"/>
      <c r="D6" s="4"/>
      <c r="E6" s="5"/>
      <c r="F6" s="6"/>
      <c r="G6" s="9"/>
      <c r="H6" s="8"/>
      <c r="I6" s="8"/>
      <c r="J6" s="8"/>
      <c r="K6" s="19"/>
      <c r="L6" s="8"/>
      <c r="M6" s="19"/>
      <c r="N6" s="6"/>
      <c r="O6" s="13"/>
      <c r="P6" s="8"/>
      <c r="Q6" s="9"/>
      <c r="R6" s="9"/>
      <c r="S6" s="8"/>
      <c r="T6" s="8"/>
      <c r="U6" s="19"/>
      <c r="V6" s="8"/>
      <c r="W6" s="14"/>
      <c r="X6" s="15"/>
      <c r="Y6" s="8"/>
      <c r="Z6" s="8"/>
      <c r="AA6" s="8"/>
      <c r="AB6" s="8"/>
      <c r="AC6" s="16"/>
      <c r="AD6" s="6"/>
      <c r="AE6" s="16"/>
    </row>
    <row r="7" spans="2:31" ht="27.75" customHeight="1" x14ac:dyDescent="0.2">
      <c r="B7" s="17"/>
      <c r="C7" s="18"/>
      <c r="D7" s="4"/>
      <c r="E7" s="5"/>
      <c r="F7" s="6"/>
      <c r="G7" s="9"/>
      <c r="H7" s="8"/>
      <c r="I7" s="8"/>
      <c r="J7" s="8"/>
      <c r="K7" s="19"/>
      <c r="L7" s="8"/>
      <c r="M7" s="19"/>
      <c r="N7" s="6"/>
      <c r="O7" s="13"/>
      <c r="P7" s="8"/>
      <c r="Q7" s="9"/>
      <c r="R7" s="9"/>
      <c r="S7" s="8"/>
      <c r="T7" s="8"/>
      <c r="U7" s="19"/>
      <c r="V7" s="8"/>
      <c r="W7" s="14"/>
      <c r="X7" s="15"/>
      <c r="Y7" s="8"/>
      <c r="Z7" s="8"/>
      <c r="AA7" s="8"/>
      <c r="AB7" s="8"/>
      <c r="AC7" s="16"/>
      <c r="AD7" s="6"/>
      <c r="AE7" s="16"/>
    </row>
    <row r="8" spans="2:31" ht="21.75" hidden="1" customHeight="1" x14ac:dyDescent="0.2">
      <c r="B8" s="17"/>
      <c r="C8" s="18"/>
      <c r="D8" s="4"/>
      <c r="E8" s="5"/>
      <c r="F8" s="6"/>
      <c r="G8" s="9"/>
      <c r="H8" s="8"/>
      <c r="I8" s="8"/>
      <c r="J8" s="8"/>
      <c r="K8" s="19"/>
      <c r="L8" s="8"/>
      <c r="M8" s="19"/>
      <c r="N8" s="6"/>
      <c r="O8" s="13"/>
      <c r="P8" s="8"/>
      <c r="Q8" s="9"/>
      <c r="R8" s="9"/>
      <c r="S8" s="8"/>
      <c r="T8" s="8"/>
      <c r="U8" s="19"/>
      <c r="V8" s="8"/>
      <c r="W8" s="14"/>
      <c r="X8" s="15"/>
      <c r="Y8" s="8"/>
      <c r="Z8" s="8"/>
      <c r="AA8" s="8"/>
      <c r="AB8" s="8"/>
      <c r="AC8" s="16"/>
      <c r="AD8" s="6"/>
      <c r="AE8" s="16"/>
    </row>
    <row r="9" spans="2:31" ht="231" customHeight="1" thickBot="1" x14ac:dyDescent="0.25">
      <c r="B9" s="20"/>
      <c r="C9" s="21"/>
      <c r="D9" s="22"/>
      <c r="E9" s="23"/>
      <c r="F9" s="24"/>
      <c r="G9" s="25"/>
      <c r="H9" s="12"/>
      <c r="I9" s="12"/>
      <c r="J9" s="12"/>
      <c r="K9" s="19"/>
      <c r="L9" s="12"/>
      <c r="M9" s="19"/>
      <c r="N9" s="24"/>
      <c r="O9" s="26"/>
      <c r="P9" s="12"/>
      <c r="Q9" s="25"/>
      <c r="R9" s="25"/>
      <c r="S9" s="12"/>
      <c r="T9" s="12"/>
      <c r="U9" s="19"/>
      <c r="V9" s="12"/>
      <c r="W9" s="27"/>
      <c r="X9" s="28"/>
      <c r="Y9" s="12"/>
      <c r="Z9" s="12"/>
      <c r="AA9" s="12"/>
      <c r="AB9" s="12"/>
      <c r="AC9" s="29"/>
      <c r="AD9" s="24"/>
      <c r="AE9" s="29"/>
    </row>
    <row r="10" spans="2:31" s="37" customFormat="1" ht="21.75" customHeight="1" x14ac:dyDescent="0.25">
      <c r="B10" s="30"/>
      <c r="C10" s="31" t="s">
        <v>30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3"/>
      <c r="X10" s="34"/>
      <c r="Y10" s="32"/>
      <c r="Z10" s="32"/>
      <c r="AA10" s="32"/>
      <c r="AB10" s="32"/>
      <c r="AC10" s="32"/>
      <c r="AD10" s="35"/>
      <c r="AE10" s="36"/>
    </row>
    <row r="11" spans="2:31" s="37" customFormat="1" ht="15.75" customHeight="1" x14ac:dyDescent="0.2">
      <c r="B11" s="38"/>
      <c r="C11" s="39" t="s">
        <v>31</v>
      </c>
      <c r="D11" s="40">
        <v>34.868000000000002</v>
      </c>
      <c r="E11" s="41">
        <v>917.7</v>
      </c>
      <c r="F11" s="41">
        <f t="shared" ref="F11:F16" si="0">E11*D11</f>
        <v>31998.363600000004</v>
      </c>
      <c r="G11" s="42">
        <v>30794.7</v>
      </c>
      <c r="H11" s="42">
        <v>22068.2</v>
      </c>
      <c r="I11" s="42">
        <v>6710.7</v>
      </c>
      <c r="J11" s="43">
        <f t="shared" ref="J11:J46" si="1">H11+I11</f>
        <v>28778.9</v>
      </c>
      <c r="K11" s="43"/>
      <c r="L11" s="43"/>
      <c r="M11" s="43"/>
      <c r="N11" s="43">
        <f t="shared" ref="N11:N16" si="2">G11+L11</f>
        <v>30794.7</v>
      </c>
      <c r="O11" s="43">
        <f t="shared" ref="O11:O16" si="3">N11-F11</f>
        <v>-1203.6636000000035</v>
      </c>
      <c r="P11" s="43">
        <v>25509.8</v>
      </c>
      <c r="Q11" s="42">
        <v>19564.900000000001</v>
      </c>
      <c r="R11" s="42">
        <v>5944.9</v>
      </c>
      <c r="S11" s="42"/>
      <c r="T11" s="44"/>
      <c r="U11" s="45">
        <v>-863.01099999999997</v>
      </c>
      <c r="V11" s="40">
        <v>-17.434000000000001</v>
      </c>
      <c r="W11" s="46">
        <f t="shared" ref="W11:W16" si="4">U11+V11</f>
        <v>-880.44499999999994</v>
      </c>
      <c r="X11" s="47">
        <v>56</v>
      </c>
      <c r="Y11" s="48">
        <v>62</v>
      </c>
      <c r="Z11" s="48">
        <v>51</v>
      </c>
      <c r="AA11" s="48"/>
      <c r="AB11" s="48"/>
      <c r="AC11" s="49">
        <f>Z11-X11</f>
        <v>-5</v>
      </c>
      <c r="AD11" s="50">
        <f>Z11+AB11</f>
        <v>51</v>
      </c>
      <c r="AE11" s="51">
        <f>AD11-X11</f>
        <v>-5</v>
      </c>
    </row>
    <row r="12" spans="2:31" s="37" customFormat="1" ht="15.75" customHeight="1" x14ac:dyDescent="0.2">
      <c r="B12" s="38"/>
      <c r="C12" s="39" t="s">
        <v>32</v>
      </c>
      <c r="D12" s="40">
        <v>406.93299999999999</v>
      </c>
      <c r="E12" s="41">
        <v>1029.5999999999999</v>
      </c>
      <c r="F12" s="41">
        <f t="shared" si="0"/>
        <v>418978.21679999994</v>
      </c>
      <c r="G12" s="42">
        <v>407158.1</v>
      </c>
      <c r="H12" s="42">
        <v>293072.7</v>
      </c>
      <c r="I12" s="42">
        <v>86942.2</v>
      </c>
      <c r="J12" s="43">
        <f t="shared" si="1"/>
        <v>380014.9</v>
      </c>
      <c r="K12" s="43"/>
      <c r="L12" s="43"/>
      <c r="M12" s="43"/>
      <c r="N12" s="43">
        <f t="shared" si="2"/>
        <v>407158.1</v>
      </c>
      <c r="O12" s="43">
        <f t="shared" si="3"/>
        <v>-11820.11679999996</v>
      </c>
      <c r="P12" s="43">
        <v>355420.8</v>
      </c>
      <c r="Q12" s="42">
        <v>274238.7</v>
      </c>
      <c r="R12" s="42">
        <v>81182.100000000006</v>
      </c>
      <c r="S12" s="42"/>
      <c r="T12" s="44"/>
      <c r="U12" s="45">
        <v>-6218.442</v>
      </c>
      <c r="V12" s="45">
        <v>-101.73325</v>
      </c>
      <c r="W12" s="52">
        <f t="shared" si="4"/>
        <v>-6320.1752500000002</v>
      </c>
      <c r="X12" s="47">
        <v>570</v>
      </c>
      <c r="Y12" s="48">
        <v>625</v>
      </c>
      <c r="Z12" s="48">
        <v>566</v>
      </c>
      <c r="AA12" s="48"/>
      <c r="AB12" s="48"/>
      <c r="AC12" s="49">
        <f t="shared" ref="AC12:AC16" si="5">Z12-X12</f>
        <v>-4</v>
      </c>
      <c r="AD12" s="50">
        <f t="shared" ref="AD12:AD83" si="6">Z12+AB12</f>
        <v>566</v>
      </c>
      <c r="AE12" s="51">
        <f t="shared" ref="AE12:AE83" si="7">AD12-X12</f>
        <v>-4</v>
      </c>
    </row>
    <row r="13" spans="2:31" s="37" customFormat="1" ht="15.75" customHeight="1" x14ac:dyDescent="0.2">
      <c r="B13" s="38"/>
      <c r="C13" s="39" t="s">
        <v>33</v>
      </c>
      <c r="D13" s="40">
        <v>83.870999999999995</v>
      </c>
      <c r="E13" s="41">
        <v>926.6</v>
      </c>
      <c r="F13" s="41">
        <f t="shared" si="0"/>
        <v>77714.868600000002</v>
      </c>
      <c r="G13" s="42">
        <v>76700.899999999994</v>
      </c>
      <c r="H13" s="42">
        <v>47567.1</v>
      </c>
      <c r="I13" s="42">
        <v>15252.9</v>
      </c>
      <c r="J13" s="43">
        <f t="shared" si="1"/>
        <v>62820</v>
      </c>
      <c r="K13" s="43"/>
      <c r="L13" s="43"/>
      <c r="M13" s="43"/>
      <c r="N13" s="43">
        <f t="shared" si="2"/>
        <v>76700.899999999994</v>
      </c>
      <c r="O13" s="43">
        <f t="shared" si="3"/>
        <v>-1013.9686000000074</v>
      </c>
      <c r="P13" s="43">
        <v>53895</v>
      </c>
      <c r="Q13" s="42">
        <v>40910.300000000003</v>
      </c>
      <c r="R13" s="42">
        <v>12984.7</v>
      </c>
      <c r="S13" s="42"/>
      <c r="T13" s="44"/>
      <c r="U13" s="40">
        <v>-1465.7170000000001</v>
      </c>
      <c r="V13" s="53">
        <v>-33.548400000000001</v>
      </c>
      <c r="W13" s="46">
        <f t="shared" si="4"/>
        <v>-1499.2654</v>
      </c>
      <c r="X13" s="47">
        <v>138</v>
      </c>
      <c r="Y13" s="48">
        <v>164</v>
      </c>
      <c r="Z13" s="48">
        <v>133</v>
      </c>
      <c r="AA13" s="48"/>
      <c r="AB13" s="48"/>
      <c r="AC13" s="49">
        <f t="shared" si="5"/>
        <v>-5</v>
      </c>
      <c r="AD13" s="50">
        <f t="shared" si="6"/>
        <v>133</v>
      </c>
      <c r="AE13" s="51">
        <f t="shared" si="7"/>
        <v>-5</v>
      </c>
    </row>
    <row r="14" spans="2:31" s="37" customFormat="1" ht="15.75" customHeight="1" x14ac:dyDescent="0.2">
      <c r="B14" s="38"/>
      <c r="C14" s="39" t="s">
        <v>34</v>
      </c>
      <c r="D14" s="40">
        <v>30.315999999999999</v>
      </c>
      <c r="E14" s="41">
        <v>1422.4</v>
      </c>
      <c r="F14" s="41">
        <f t="shared" si="0"/>
        <v>43121.4784</v>
      </c>
      <c r="G14" s="43">
        <v>40214.6</v>
      </c>
      <c r="H14" s="43">
        <v>29289</v>
      </c>
      <c r="I14" s="43">
        <v>8574.7999999999993</v>
      </c>
      <c r="J14" s="43">
        <f t="shared" si="1"/>
        <v>37863.800000000003</v>
      </c>
      <c r="K14" s="43"/>
      <c r="L14" s="43"/>
      <c r="M14" s="43"/>
      <c r="N14" s="43">
        <f t="shared" si="2"/>
        <v>40214.6</v>
      </c>
      <c r="O14" s="43">
        <f t="shared" si="3"/>
        <v>-2906.8784000000014</v>
      </c>
      <c r="P14" s="43">
        <v>25420.2</v>
      </c>
      <c r="Q14" s="43">
        <v>19744.400000000001</v>
      </c>
      <c r="R14" s="43">
        <v>5675.8</v>
      </c>
      <c r="S14" s="43"/>
      <c r="T14" s="44"/>
      <c r="U14" s="45">
        <v>-475.77499999999998</v>
      </c>
      <c r="V14" s="45">
        <v>-15.157999999999999</v>
      </c>
      <c r="W14" s="46">
        <f t="shared" si="4"/>
        <v>-490.93299999999999</v>
      </c>
      <c r="X14" s="47">
        <v>49</v>
      </c>
      <c r="Y14" s="48">
        <v>86.3</v>
      </c>
      <c r="Z14" s="48">
        <v>46</v>
      </c>
      <c r="AA14" s="48"/>
      <c r="AB14" s="48"/>
      <c r="AC14" s="49">
        <f t="shared" si="5"/>
        <v>-3</v>
      </c>
      <c r="AD14" s="50">
        <f t="shared" si="6"/>
        <v>46</v>
      </c>
      <c r="AE14" s="51">
        <f t="shared" si="7"/>
        <v>-3</v>
      </c>
    </row>
    <row r="15" spans="2:31" s="37" customFormat="1" ht="15.75" customHeight="1" x14ac:dyDescent="0.2">
      <c r="B15" s="38"/>
      <c r="C15" s="39" t="s">
        <v>35</v>
      </c>
      <c r="D15" s="40">
        <v>32.790999999999997</v>
      </c>
      <c r="E15" s="41">
        <v>1035.8</v>
      </c>
      <c r="F15" s="41">
        <f t="shared" si="0"/>
        <v>33964.917799999996</v>
      </c>
      <c r="G15" s="42">
        <v>33941.800000000003</v>
      </c>
      <c r="H15" s="42">
        <v>25081</v>
      </c>
      <c r="I15" s="42">
        <v>7522.8</v>
      </c>
      <c r="J15" s="43">
        <f t="shared" si="1"/>
        <v>32603.8</v>
      </c>
      <c r="K15" s="43"/>
      <c r="L15" s="43"/>
      <c r="M15" s="43"/>
      <c r="N15" s="43">
        <f t="shared" si="2"/>
        <v>33941.800000000003</v>
      </c>
      <c r="O15" s="43">
        <f t="shared" si="3"/>
        <v>-23.117799999992712</v>
      </c>
      <c r="P15" s="43">
        <v>28812.3</v>
      </c>
      <c r="Q15" s="42">
        <v>22210.799999999999</v>
      </c>
      <c r="R15" s="42">
        <v>6601.4</v>
      </c>
      <c r="S15" s="42"/>
      <c r="T15" s="44"/>
      <c r="U15" s="45">
        <v>-855.87300000000005</v>
      </c>
      <c r="V15" s="45">
        <v>-16.395499999999998</v>
      </c>
      <c r="W15" s="46">
        <f t="shared" si="4"/>
        <v>-872.26850000000002</v>
      </c>
      <c r="X15" s="47">
        <v>51</v>
      </c>
      <c r="Y15" s="48">
        <v>69</v>
      </c>
      <c r="Z15" s="48">
        <v>51</v>
      </c>
      <c r="AA15" s="48"/>
      <c r="AB15" s="48"/>
      <c r="AC15" s="54">
        <f t="shared" si="5"/>
        <v>0</v>
      </c>
      <c r="AD15" s="50">
        <f t="shared" si="6"/>
        <v>51</v>
      </c>
      <c r="AE15" s="51">
        <f t="shared" si="7"/>
        <v>0</v>
      </c>
    </row>
    <row r="16" spans="2:31" s="37" customFormat="1" ht="15.75" customHeight="1" thickBot="1" x14ac:dyDescent="0.25">
      <c r="B16" s="55"/>
      <c r="C16" s="56" t="s">
        <v>36</v>
      </c>
      <c r="D16" s="57">
        <v>58.722999999999999</v>
      </c>
      <c r="E16" s="58">
        <v>849.7</v>
      </c>
      <c r="F16" s="58">
        <f t="shared" si="0"/>
        <v>49896.933100000002</v>
      </c>
      <c r="G16" s="59">
        <v>48945.5</v>
      </c>
      <c r="H16" s="59">
        <v>36217.199999999997</v>
      </c>
      <c r="I16" s="59">
        <v>10843.7</v>
      </c>
      <c r="J16" s="60">
        <f t="shared" si="1"/>
        <v>47060.899999999994</v>
      </c>
      <c r="K16" s="60"/>
      <c r="L16" s="60"/>
      <c r="M16" s="60"/>
      <c r="N16" s="60">
        <f t="shared" si="2"/>
        <v>48945.5</v>
      </c>
      <c r="O16" s="60">
        <f t="shared" si="3"/>
        <v>-951.43310000000201</v>
      </c>
      <c r="P16" s="60">
        <v>45909</v>
      </c>
      <c r="Q16" s="59">
        <v>35397.699999999997</v>
      </c>
      <c r="R16" s="59">
        <v>10511.3</v>
      </c>
      <c r="S16" s="59"/>
      <c r="T16" s="61"/>
      <c r="U16" s="62">
        <v>-986.798</v>
      </c>
      <c r="V16" s="62">
        <v>-23.4892</v>
      </c>
      <c r="W16" s="63">
        <f t="shared" si="4"/>
        <v>-1010.2872</v>
      </c>
      <c r="X16" s="64">
        <v>88</v>
      </c>
      <c r="Y16" s="65">
        <v>90.5</v>
      </c>
      <c r="Z16" s="65">
        <v>87</v>
      </c>
      <c r="AA16" s="65"/>
      <c r="AB16" s="65"/>
      <c r="AC16" s="66">
        <f t="shared" si="5"/>
        <v>-1</v>
      </c>
      <c r="AD16" s="67">
        <f t="shared" si="6"/>
        <v>87</v>
      </c>
      <c r="AE16" s="68">
        <f t="shared" si="7"/>
        <v>-1</v>
      </c>
    </row>
    <row r="17" spans="2:31" s="37" customFormat="1" ht="15.75" customHeight="1" thickBot="1" x14ac:dyDescent="0.3">
      <c r="B17" s="69"/>
      <c r="C17" s="70"/>
      <c r="D17" s="71"/>
      <c r="E17" s="72"/>
      <c r="F17" s="72"/>
      <c r="G17" s="73"/>
      <c r="H17" s="73"/>
      <c r="I17" s="73"/>
      <c r="J17" s="74"/>
      <c r="K17" s="74"/>
      <c r="L17" s="74"/>
      <c r="M17" s="74"/>
      <c r="N17" s="74"/>
      <c r="O17" s="74"/>
      <c r="P17" s="74"/>
      <c r="Q17" s="73"/>
      <c r="R17" s="73"/>
      <c r="S17" s="73"/>
      <c r="T17" s="75"/>
      <c r="U17" s="76"/>
      <c r="V17" s="76"/>
      <c r="W17" s="77"/>
      <c r="X17" s="78"/>
      <c r="Y17" s="79"/>
      <c r="Z17" s="79"/>
      <c r="AA17" s="79"/>
      <c r="AB17" s="79"/>
      <c r="AC17" s="80"/>
      <c r="AD17" s="81"/>
      <c r="AE17" s="80"/>
    </row>
    <row r="18" spans="2:31" s="37" customFormat="1" ht="15.75" customHeight="1" x14ac:dyDescent="0.25">
      <c r="B18" s="82"/>
      <c r="C18" s="31" t="s">
        <v>37</v>
      </c>
      <c r="D18" s="83"/>
      <c r="E18" s="84"/>
      <c r="F18" s="84"/>
      <c r="G18" s="85"/>
      <c r="H18" s="85"/>
      <c r="I18" s="85"/>
      <c r="J18" s="86"/>
      <c r="K18" s="86"/>
      <c r="L18" s="86"/>
      <c r="M18" s="86"/>
      <c r="N18" s="86"/>
      <c r="O18" s="86"/>
      <c r="P18" s="86"/>
      <c r="Q18" s="85"/>
      <c r="R18" s="85"/>
      <c r="S18" s="85"/>
      <c r="T18" s="87"/>
      <c r="U18" s="88"/>
      <c r="V18" s="88"/>
      <c r="W18" s="89"/>
      <c r="X18" s="90"/>
      <c r="Y18" s="32"/>
      <c r="Z18" s="32"/>
      <c r="AA18" s="32"/>
      <c r="AB18" s="32"/>
      <c r="AC18" s="91"/>
      <c r="AD18" s="35"/>
      <c r="AE18" s="92"/>
    </row>
    <row r="19" spans="2:31" s="37" customFormat="1" ht="15.75" customHeight="1" x14ac:dyDescent="0.25">
      <c r="B19" s="93"/>
      <c r="C19" s="94"/>
      <c r="D19" s="40"/>
      <c r="E19" s="41"/>
      <c r="F19" s="41"/>
      <c r="G19" s="42"/>
      <c r="H19" s="42"/>
      <c r="I19" s="42"/>
      <c r="J19" s="43"/>
      <c r="K19" s="43"/>
      <c r="L19" s="43"/>
      <c r="M19" s="43"/>
      <c r="N19" s="43"/>
      <c r="O19" s="43"/>
      <c r="P19" s="43"/>
      <c r="Q19" s="42"/>
      <c r="R19" s="42"/>
      <c r="S19" s="42"/>
      <c r="T19" s="44"/>
      <c r="U19" s="45"/>
      <c r="V19" s="45"/>
      <c r="W19" s="46"/>
      <c r="X19" s="47"/>
      <c r="Y19" s="48"/>
      <c r="Z19" s="48"/>
      <c r="AA19" s="48"/>
      <c r="AB19" s="48"/>
      <c r="AC19" s="49"/>
      <c r="AD19" s="50"/>
      <c r="AE19" s="51"/>
    </row>
    <row r="20" spans="2:31" s="37" customFormat="1" ht="15.75" customHeight="1" x14ac:dyDescent="0.25">
      <c r="B20" s="93"/>
      <c r="C20" s="95" t="s">
        <v>38</v>
      </c>
      <c r="D20" s="40">
        <v>40.636000000000003</v>
      </c>
      <c r="E20" s="41">
        <v>1364</v>
      </c>
      <c r="F20" s="41">
        <f t="shared" ref="F20:F40" si="8">E20*D20</f>
        <v>55427.504000000001</v>
      </c>
      <c r="G20" s="42">
        <v>52566.8</v>
      </c>
      <c r="H20" s="42">
        <v>35560.6</v>
      </c>
      <c r="I20" s="42">
        <v>10739.3</v>
      </c>
      <c r="J20" s="43">
        <f t="shared" ref="J20:J27" si="9">H20+I20</f>
        <v>46299.899999999994</v>
      </c>
      <c r="K20" s="43"/>
      <c r="L20" s="43">
        <v>-3</v>
      </c>
      <c r="M20" s="43"/>
      <c r="N20" s="43">
        <f t="shared" ref="N20:N40" si="10">G20+L20</f>
        <v>52563.8</v>
      </c>
      <c r="O20" s="43">
        <f t="shared" ref="O20:O40" si="11">N20-F20</f>
        <v>-2863.7039999999979</v>
      </c>
      <c r="P20" s="43">
        <v>40287.4</v>
      </c>
      <c r="Q20" s="42">
        <v>30942.7</v>
      </c>
      <c r="R20" s="42">
        <v>9344.7000000000007</v>
      </c>
      <c r="S20" s="42"/>
      <c r="T20" s="96"/>
      <c r="U20" s="45">
        <v>-868.68899999999996</v>
      </c>
      <c r="V20" s="45">
        <v>-20.318000000000001</v>
      </c>
      <c r="W20" s="46">
        <f t="shared" ref="W20:W29" si="12">U20+V20</f>
        <v>-889.00699999999995</v>
      </c>
      <c r="X20" s="47">
        <v>99</v>
      </c>
      <c r="Y20" s="48">
        <v>109</v>
      </c>
      <c r="Z20" s="48">
        <v>89</v>
      </c>
      <c r="AA20" s="48"/>
      <c r="AB20" s="48"/>
      <c r="AC20" s="49">
        <f>(Z20+AB20)-X20</f>
        <v>-10</v>
      </c>
      <c r="AD20" s="50">
        <f>Z20+AB20</f>
        <v>89</v>
      </c>
      <c r="AE20" s="51">
        <f>AD20-X20</f>
        <v>-10</v>
      </c>
    </row>
    <row r="21" spans="2:31" s="37" customFormat="1" ht="15.75" customHeight="1" x14ac:dyDescent="0.25">
      <c r="B21" s="93"/>
      <c r="C21" s="97" t="s">
        <v>39</v>
      </c>
      <c r="D21" s="40">
        <v>4.59</v>
      </c>
      <c r="E21" s="41">
        <v>4782.7</v>
      </c>
      <c r="F21" s="41">
        <f t="shared" si="8"/>
        <v>21952.592999999997</v>
      </c>
      <c r="G21" s="98">
        <v>21873.200000000001</v>
      </c>
      <c r="H21" s="98">
        <v>14449.2</v>
      </c>
      <c r="I21" s="98">
        <v>4303.1000000000004</v>
      </c>
      <c r="J21" s="43">
        <f t="shared" si="9"/>
        <v>18752.300000000003</v>
      </c>
      <c r="K21" s="43"/>
      <c r="L21" s="43">
        <v>0</v>
      </c>
      <c r="M21" s="43"/>
      <c r="N21" s="43">
        <f t="shared" si="10"/>
        <v>21873.200000000001</v>
      </c>
      <c r="O21" s="43">
        <f t="shared" si="11"/>
        <v>-79.392999999996391</v>
      </c>
      <c r="P21" s="43">
        <v>11610.1</v>
      </c>
      <c r="Q21" s="98">
        <v>8972.7999999999993</v>
      </c>
      <c r="R21" s="98">
        <v>2637.3</v>
      </c>
      <c r="S21" s="98"/>
      <c r="T21" s="98"/>
      <c r="U21" s="45">
        <v>-340.98200000000003</v>
      </c>
      <c r="V21" s="45">
        <v>-2.754</v>
      </c>
      <c r="W21" s="46">
        <f t="shared" si="12"/>
        <v>-343.73600000000005</v>
      </c>
      <c r="X21" s="47">
        <v>25</v>
      </c>
      <c r="Y21" s="48">
        <v>62.25</v>
      </c>
      <c r="Z21" s="48">
        <v>24</v>
      </c>
      <c r="AA21" s="48"/>
      <c r="AB21" s="48"/>
      <c r="AC21" s="49">
        <f>(Z21+AB21)-X21</f>
        <v>-1</v>
      </c>
      <c r="AD21" s="50">
        <f>Z21+AB21</f>
        <v>24</v>
      </c>
      <c r="AE21" s="51">
        <f>AD21-X21</f>
        <v>-1</v>
      </c>
    </row>
    <row r="22" spans="2:31" s="37" customFormat="1" ht="15.75" customHeight="1" x14ac:dyDescent="0.25">
      <c r="B22" s="93"/>
      <c r="C22" s="99" t="s">
        <v>40</v>
      </c>
      <c r="D22" s="40">
        <v>17.818999999999999</v>
      </c>
      <c r="E22" s="41">
        <v>1784.4</v>
      </c>
      <c r="F22" s="41">
        <f t="shared" si="8"/>
        <v>31796.223600000001</v>
      </c>
      <c r="G22" s="98">
        <v>27822</v>
      </c>
      <c r="H22" s="98">
        <v>19985.8</v>
      </c>
      <c r="I22" s="98">
        <v>6141.4</v>
      </c>
      <c r="J22" s="43">
        <f t="shared" si="9"/>
        <v>26127.199999999997</v>
      </c>
      <c r="K22" s="43">
        <f>-423.4-126.7</f>
        <v>-550.1</v>
      </c>
      <c r="L22" s="43">
        <v>-561.29999999999995</v>
      </c>
      <c r="M22" s="43"/>
      <c r="N22" s="43">
        <f t="shared" si="10"/>
        <v>27260.7</v>
      </c>
      <c r="O22" s="43">
        <f t="shared" si="11"/>
        <v>-4535.5236000000004</v>
      </c>
      <c r="P22" s="43">
        <v>20529.900000000001</v>
      </c>
      <c r="Q22" s="98">
        <v>15727.6</v>
      </c>
      <c r="R22" s="98">
        <v>4802.3</v>
      </c>
      <c r="S22" s="98"/>
      <c r="T22" s="98"/>
      <c r="U22" s="45">
        <v>-402.56400000000002</v>
      </c>
      <c r="V22" s="45">
        <v>-10.6914</v>
      </c>
      <c r="W22" s="46">
        <f t="shared" si="12"/>
        <v>-413.25540000000001</v>
      </c>
      <c r="X22" s="47">
        <v>51</v>
      </c>
      <c r="Y22" s="48">
        <v>65</v>
      </c>
      <c r="Z22" s="48">
        <v>44</v>
      </c>
      <c r="AA22" s="48">
        <v>-2</v>
      </c>
      <c r="AB22" s="48"/>
      <c r="AC22" s="49">
        <f t="shared" ref="AC22:AC40" si="13">(Z22+AB22)-X22</f>
        <v>-7</v>
      </c>
      <c r="AD22" s="50">
        <f>Z22+AB22</f>
        <v>44</v>
      </c>
      <c r="AE22" s="51">
        <f t="shared" ref="AE22:AE40" si="14">AD22-X22</f>
        <v>-7</v>
      </c>
    </row>
    <row r="23" spans="2:31" s="37" customFormat="1" ht="15.75" customHeight="1" x14ac:dyDescent="0.25">
      <c r="B23" s="93"/>
      <c r="C23" s="100" t="s">
        <v>41</v>
      </c>
      <c r="D23" s="40">
        <v>16.07</v>
      </c>
      <c r="E23" s="41">
        <v>2327.1</v>
      </c>
      <c r="F23" s="41">
        <f t="shared" si="8"/>
        <v>37396.496999999996</v>
      </c>
      <c r="G23" s="42">
        <v>32487</v>
      </c>
      <c r="H23" s="42">
        <v>21641</v>
      </c>
      <c r="I23" s="42">
        <v>6374.4</v>
      </c>
      <c r="J23" s="43">
        <f t="shared" si="9"/>
        <v>28015.4</v>
      </c>
      <c r="K23" s="43"/>
      <c r="L23" s="43">
        <v>0</v>
      </c>
      <c r="M23" s="43"/>
      <c r="N23" s="43">
        <f t="shared" si="10"/>
        <v>32487</v>
      </c>
      <c r="O23" s="43">
        <f t="shared" si="11"/>
        <v>-4909.4969999999958</v>
      </c>
      <c r="P23" s="43">
        <v>24345.599999999999</v>
      </c>
      <c r="Q23" s="42">
        <v>18796.8</v>
      </c>
      <c r="R23" s="42">
        <v>5548.8</v>
      </c>
      <c r="S23" s="42"/>
      <c r="T23" s="101"/>
      <c r="U23" s="45">
        <v>-391.97800000000001</v>
      </c>
      <c r="V23" s="45">
        <v>-9.6419999999999995</v>
      </c>
      <c r="W23" s="46">
        <f t="shared" si="12"/>
        <v>-401.62</v>
      </c>
      <c r="X23" s="47">
        <v>56</v>
      </c>
      <c r="Y23" s="48">
        <v>68.25</v>
      </c>
      <c r="Z23" s="48">
        <v>55</v>
      </c>
      <c r="AA23" s="48"/>
      <c r="AB23" s="48"/>
      <c r="AC23" s="49">
        <f t="shared" si="13"/>
        <v>-1</v>
      </c>
      <c r="AD23" s="50">
        <f t="shared" ref="AD23:AD40" si="15">Z23+AB23</f>
        <v>55</v>
      </c>
      <c r="AE23" s="51">
        <f t="shared" si="14"/>
        <v>-1</v>
      </c>
    </row>
    <row r="24" spans="2:31" s="37" customFormat="1" ht="15.75" customHeight="1" x14ac:dyDescent="0.25">
      <c r="B24" s="93"/>
      <c r="C24" s="95" t="s">
        <v>42</v>
      </c>
      <c r="D24" s="40">
        <v>15.481999999999999</v>
      </c>
      <c r="E24" s="41">
        <v>2004.9</v>
      </c>
      <c r="F24" s="41">
        <f t="shared" si="8"/>
        <v>31039.861799999999</v>
      </c>
      <c r="G24" s="42">
        <v>28971.599999999999</v>
      </c>
      <c r="H24" s="42">
        <v>20213.5</v>
      </c>
      <c r="I24" s="42">
        <v>6149</v>
      </c>
      <c r="J24" s="43">
        <f t="shared" si="9"/>
        <v>26362.5</v>
      </c>
      <c r="K24" s="43"/>
      <c r="L24" s="43">
        <v>-163.4</v>
      </c>
      <c r="M24" s="43"/>
      <c r="N24" s="43">
        <f t="shared" si="10"/>
        <v>28808.199999999997</v>
      </c>
      <c r="O24" s="43">
        <f t="shared" si="11"/>
        <v>-2231.6618000000017</v>
      </c>
      <c r="P24" s="43">
        <v>22359</v>
      </c>
      <c r="Q24" s="42">
        <v>17128</v>
      </c>
      <c r="R24" s="42">
        <v>5231</v>
      </c>
      <c r="S24" s="42"/>
      <c r="T24" s="101"/>
      <c r="U24" s="45">
        <v>-389.95699999999999</v>
      </c>
      <c r="V24" s="45">
        <v>-9.2891999999999992</v>
      </c>
      <c r="W24" s="46">
        <f t="shared" si="12"/>
        <v>-399.24619999999999</v>
      </c>
      <c r="X24" s="47">
        <v>47</v>
      </c>
      <c r="Y24" s="48">
        <v>60</v>
      </c>
      <c r="Z24" s="48">
        <v>46</v>
      </c>
      <c r="AA24" s="48"/>
      <c r="AB24" s="48"/>
      <c r="AC24" s="49">
        <f t="shared" si="13"/>
        <v>-1</v>
      </c>
      <c r="AD24" s="50">
        <f t="shared" si="15"/>
        <v>46</v>
      </c>
      <c r="AE24" s="51">
        <f t="shared" si="14"/>
        <v>-1</v>
      </c>
    </row>
    <row r="25" spans="2:31" s="37" customFormat="1" ht="15.75" customHeight="1" x14ac:dyDescent="0.25">
      <c r="B25" s="93"/>
      <c r="C25" s="95" t="s">
        <v>43</v>
      </c>
      <c r="D25" s="40">
        <v>38.066000000000003</v>
      </c>
      <c r="E25" s="41">
        <v>1638.2</v>
      </c>
      <c r="F25" s="41">
        <f t="shared" si="8"/>
        <v>62359.721200000007</v>
      </c>
      <c r="G25" s="98">
        <v>66721.899999999994</v>
      </c>
      <c r="H25" s="98">
        <v>49027.9</v>
      </c>
      <c r="I25" s="98">
        <v>14773.6</v>
      </c>
      <c r="J25" s="43">
        <f t="shared" si="9"/>
        <v>63801.5</v>
      </c>
      <c r="K25" s="43">
        <f>349.6+105.8-4254.4-1284.8</f>
        <v>-5083.7999999999993</v>
      </c>
      <c r="L25" s="43">
        <f>524.3-6370.1</f>
        <v>-5845.8</v>
      </c>
      <c r="M25" s="43"/>
      <c r="N25" s="43">
        <f t="shared" si="10"/>
        <v>60876.099999999991</v>
      </c>
      <c r="O25" s="43">
        <f t="shared" si="11"/>
        <v>-1483.621200000016</v>
      </c>
      <c r="P25" s="43">
        <v>47434.7</v>
      </c>
      <c r="Q25" s="98">
        <v>36440.1</v>
      </c>
      <c r="R25" s="98">
        <v>10994.6</v>
      </c>
      <c r="S25" s="98">
        <f>455.4-3191.1</f>
        <v>-2735.7</v>
      </c>
      <c r="T25" s="101"/>
      <c r="U25" s="45">
        <v>-859.85699999999997</v>
      </c>
      <c r="V25" s="45">
        <v>-19.033000000000001</v>
      </c>
      <c r="W25" s="46">
        <f t="shared" si="12"/>
        <v>-878.89</v>
      </c>
      <c r="X25" s="47">
        <v>74</v>
      </c>
      <c r="Y25" s="48">
        <v>117.25</v>
      </c>
      <c r="Z25" s="48">
        <v>80</v>
      </c>
      <c r="AA25" s="48">
        <f>-13+1</f>
        <v>-12</v>
      </c>
      <c r="AB25" s="48">
        <f>-7+1</f>
        <v>-6</v>
      </c>
      <c r="AC25" s="49">
        <f t="shared" si="13"/>
        <v>0</v>
      </c>
      <c r="AD25" s="50">
        <f t="shared" si="15"/>
        <v>74</v>
      </c>
      <c r="AE25" s="51">
        <f t="shared" si="14"/>
        <v>0</v>
      </c>
    </row>
    <row r="26" spans="2:31" s="37" customFormat="1" ht="15.75" customHeight="1" x14ac:dyDescent="0.25">
      <c r="B26" s="93"/>
      <c r="C26" s="95" t="s">
        <v>44</v>
      </c>
      <c r="D26" s="40">
        <v>8.4600000000000009</v>
      </c>
      <c r="E26" s="41">
        <v>3479.9</v>
      </c>
      <c r="F26" s="41">
        <f t="shared" si="8"/>
        <v>29439.954000000005</v>
      </c>
      <c r="G26" s="98">
        <v>24555.9</v>
      </c>
      <c r="H26" s="98">
        <v>15111.2</v>
      </c>
      <c r="I26" s="98">
        <v>4774.1000000000004</v>
      </c>
      <c r="J26" s="43">
        <f t="shared" si="9"/>
        <v>19885.300000000003</v>
      </c>
      <c r="K26" s="43">
        <f>144.3+43.3</f>
        <v>187.60000000000002</v>
      </c>
      <c r="L26" s="43">
        <f>187.5-18</f>
        <v>169.5</v>
      </c>
      <c r="M26" s="43"/>
      <c r="N26" s="43">
        <f t="shared" si="10"/>
        <v>24725.4</v>
      </c>
      <c r="O26" s="43">
        <f t="shared" si="11"/>
        <v>-4714.5540000000037</v>
      </c>
      <c r="P26" s="43">
        <v>16081</v>
      </c>
      <c r="Q26" s="102">
        <v>12242.4</v>
      </c>
      <c r="R26" s="98">
        <v>3838.5</v>
      </c>
      <c r="S26" s="98"/>
      <c r="T26" s="98"/>
      <c r="U26" s="45">
        <v>-365.82499999999999</v>
      </c>
      <c r="V26" s="45">
        <v>-5.0759999999999996</v>
      </c>
      <c r="W26" s="46">
        <f t="shared" si="12"/>
        <v>-370.90100000000001</v>
      </c>
      <c r="X26" s="47">
        <v>48</v>
      </c>
      <c r="Y26" s="48">
        <v>60</v>
      </c>
      <c r="Z26" s="48">
        <v>42</v>
      </c>
      <c r="AA26" s="48">
        <v>1</v>
      </c>
      <c r="AB26" s="48"/>
      <c r="AC26" s="49">
        <f>(Z26+AB26)-X26</f>
        <v>-6</v>
      </c>
      <c r="AD26" s="50">
        <f t="shared" si="15"/>
        <v>42</v>
      </c>
      <c r="AE26" s="51">
        <f t="shared" si="14"/>
        <v>-6</v>
      </c>
    </row>
    <row r="27" spans="2:31" s="37" customFormat="1" ht="15.75" customHeight="1" x14ac:dyDescent="0.25">
      <c r="B27" s="93"/>
      <c r="C27" s="103" t="s">
        <v>45</v>
      </c>
      <c r="D27" s="40">
        <v>21.741</v>
      </c>
      <c r="E27" s="41">
        <v>1859.1</v>
      </c>
      <c r="F27" s="41">
        <f t="shared" si="8"/>
        <v>40418.693099999997</v>
      </c>
      <c r="G27" s="98">
        <v>41639.599999999999</v>
      </c>
      <c r="H27" s="98">
        <v>24013.8</v>
      </c>
      <c r="I27" s="98">
        <v>7260.9</v>
      </c>
      <c r="J27" s="43">
        <f t="shared" si="9"/>
        <v>31274.699999999997</v>
      </c>
      <c r="K27" s="43">
        <f>127.1+37.4-231.9-69</f>
        <v>-136.4</v>
      </c>
      <c r="L27" s="43">
        <f>165.4-1547.3</f>
        <v>-1381.8999999999999</v>
      </c>
      <c r="M27" s="43"/>
      <c r="N27" s="43">
        <f t="shared" si="10"/>
        <v>40257.699999999997</v>
      </c>
      <c r="O27" s="43">
        <f t="shared" si="11"/>
        <v>-160.99309999999969</v>
      </c>
      <c r="P27" s="43">
        <v>23278.3</v>
      </c>
      <c r="Q27" s="98">
        <v>17369</v>
      </c>
      <c r="R27" s="98">
        <v>5909.3</v>
      </c>
      <c r="S27" s="98"/>
      <c r="T27" s="98"/>
      <c r="U27" s="45">
        <v>-416.04300000000001</v>
      </c>
      <c r="V27" s="45">
        <v>-10.8705</v>
      </c>
      <c r="W27" s="46">
        <f t="shared" si="12"/>
        <v>-426.9135</v>
      </c>
      <c r="X27" s="47">
        <v>52</v>
      </c>
      <c r="Y27" s="48">
        <v>90</v>
      </c>
      <c r="Z27" s="48">
        <v>51</v>
      </c>
      <c r="AA27" s="48">
        <f>0.9-1.5</f>
        <v>-0.6</v>
      </c>
      <c r="AB27" s="48"/>
      <c r="AC27" s="49">
        <f t="shared" si="13"/>
        <v>-1</v>
      </c>
      <c r="AD27" s="50">
        <f t="shared" si="15"/>
        <v>51</v>
      </c>
      <c r="AE27" s="51">
        <f t="shared" si="14"/>
        <v>-1</v>
      </c>
    </row>
    <row r="28" spans="2:31" s="37" customFormat="1" ht="15.75" customHeight="1" x14ac:dyDescent="0.25">
      <c r="B28" s="93"/>
      <c r="C28" s="104" t="s">
        <v>46</v>
      </c>
      <c r="D28" s="40">
        <v>20.135000000000002</v>
      </c>
      <c r="E28" s="41">
        <v>1744.3</v>
      </c>
      <c r="F28" s="41">
        <f t="shared" si="8"/>
        <v>35121.480500000005</v>
      </c>
      <c r="G28" s="98">
        <v>34188</v>
      </c>
      <c r="H28" s="98">
        <v>24766.2</v>
      </c>
      <c r="I28" s="98">
        <v>7298.8</v>
      </c>
      <c r="J28" s="43">
        <v>6204.1</v>
      </c>
      <c r="K28" s="43">
        <f>218.2+65.9</f>
        <v>284.10000000000002</v>
      </c>
      <c r="L28" s="43">
        <f>284.2</f>
        <v>284.2</v>
      </c>
      <c r="M28" s="43"/>
      <c r="N28" s="43">
        <f t="shared" si="10"/>
        <v>34472.199999999997</v>
      </c>
      <c r="O28" s="43">
        <f t="shared" si="11"/>
        <v>-649.28050000000803</v>
      </c>
      <c r="P28" s="43">
        <v>27220.7</v>
      </c>
      <c r="Q28" s="98">
        <v>20990.3</v>
      </c>
      <c r="R28" s="98">
        <v>6230.4</v>
      </c>
      <c r="S28" s="98">
        <v>284.2</v>
      </c>
      <c r="T28" s="98"/>
      <c r="U28" s="45">
        <v>-410.524</v>
      </c>
      <c r="V28" s="45">
        <v>-10.067500000000001</v>
      </c>
      <c r="W28" s="46">
        <f t="shared" si="12"/>
        <v>-420.5915</v>
      </c>
      <c r="X28" s="47">
        <v>57</v>
      </c>
      <c r="Y28" s="48">
        <v>74</v>
      </c>
      <c r="Z28" s="48">
        <v>54</v>
      </c>
      <c r="AA28" s="48">
        <v>1</v>
      </c>
      <c r="AB28" s="48">
        <v>1</v>
      </c>
      <c r="AC28" s="49">
        <f t="shared" si="13"/>
        <v>-2</v>
      </c>
      <c r="AD28" s="50">
        <f t="shared" si="15"/>
        <v>55</v>
      </c>
      <c r="AE28" s="51">
        <f t="shared" si="14"/>
        <v>-2</v>
      </c>
    </row>
    <row r="29" spans="2:31" s="37" customFormat="1" ht="15.75" customHeight="1" x14ac:dyDescent="0.25">
      <c r="B29" s="93"/>
      <c r="C29" s="99" t="s">
        <v>47</v>
      </c>
      <c r="D29" s="40">
        <v>18.687000000000001</v>
      </c>
      <c r="E29" s="41">
        <v>1707.3</v>
      </c>
      <c r="F29" s="41">
        <f t="shared" si="8"/>
        <v>31904.3151</v>
      </c>
      <c r="G29" s="45">
        <v>27254.3</v>
      </c>
      <c r="H29" s="42">
        <v>18197.599999999999</v>
      </c>
      <c r="I29" s="42">
        <v>5443.5</v>
      </c>
      <c r="J29" s="43">
        <f t="shared" ref="J29:J39" si="16">H29+I29</f>
        <v>23641.1</v>
      </c>
      <c r="K29" s="43"/>
      <c r="L29" s="43">
        <v>-42.3</v>
      </c>
      <c r="M29" s="43"/>
      <c r="N29" s="43">
        <f t="shared" si="10"/>
        <v>27212</v>
      </c>
      <c r="O29" s="43">
        <f t="shared" si="11"/>
        <v>-4692.3150999999998</v>
      </c>
      <c r="P29" s="43">
        <v>21868.9</v>
      </c>
      <c r="Q29" s="42">
        <v>16829.900000000001</v>
      </c>
      <c r="R29" s="42">
        <v>5039</v>
      </c>
      <c r="S29" s="42"/>
      <c r="T29" s="98"/>
      <c r="U29" s="45">
        <v>-400.971</v>
      </c>
      <c r="V29" s="45">
        <v>-11.212199999999999</v>
      </c>
      <c r="W29" s="46">
        <f t="shared" si="12"/>
        <v>-412.1832</v>
      </c>
      <c r="X29" s="47">
        <v>68</v>
      </c>
      <c r="Y29" s="48">
        <v>71.5</v>
      </c>
      <c r="Z29" s="48">
        <v>63</v>
      </c>
      <c r="AA29" s="48"/>
      <c r="AB29" s="48"/>
      <c r="AC29" s="49">
        <f t="shared" si="13"/>
        <v>-5</v>
      </c>
      <c r="AD29" s="50">
        <f t="shared" si="15"/>
        <v>63</v>
      </c>
      <c r="AE29" s="51">
        <f t="shared" si="14"/>
        <v>-5</v>
      </c>
    </row>
    <row r="30" spans="2:31" s="37" customFormat="1" ht="15.75" customHeight="1" x14ac:dyDescent="0.25">
      <c r="B30" s="93"/>
      <c r="C30" s="95" t="s">
        <v>48</v>
      </c>
      <c r="D30" s="40">
        <v>8.3260000000000005</v>
      </c>
      <c r="E30" s="41">
        <v>3938.2</v>
      </c>
      <c r="F30" s="41">
        <f t="shared" si="8"/>
        <v>32789.453200000004</v>
      </c>
      <c r="G30" s="98">
        <v>29654.5</v>
      </c>
      <c r="H30" s="98">
        <v>19361</v>
      </c>
      <c r="I30" s="98">
        <v>5782.6</v>
      </c>
      <c r="J30" s="43">
        <f t="shared" si="16"/>
        <v>25143.599999999999</v>
      </c>
      <c r="K30" s="43">
        <f>-102.9-31.1</f>
        <v>-134</v>
      </c>
      <c r="L30" s="43">
        <f>-134</f>
        <v>-134</v>
      </c>
      <c r="M30" s="43"/>
      <c r="N30" s="43">
        <f t="shared" si="10"/>
        <v>29520.5</v>
      </c>
      <c r="O30" s="43">
        <f t="shared" si="11"/>
        <v>-3268.9532000000036</v>
      </c>
      <c r="P30" s="43">
        <v>20323.5</v>
      </c>
      <c r="Q30" s="98">
        <v>15828.6</v>
      </c>
      <c r="R30" s="98">
        <v>4494.8999999999996</v>
      </c>
      <c r="S30" s="98"/>
      <c r="T30" s="98"/>
      <c r="U30" s="45">
        <v>-353.82100000000003</v>
      </c>
      <c r="V30" s="45">
        <v>-4.9955999999999996</v>
      </c>
      <c r="W30" s="46">
        <f>V30+U30</f>
        <v>-358.81660000000005</v>
      </c>
      <c r="X30" s="47">
        <v>47</v>
      </c>
      <c r="Y30" s="48">
        <v>63.5</v>
      </c>
      <c r="Z30" s="48">
        <v>36</v>
      </c>
      <c r="AA30" s="48">
        <v>-0.5</v>
      </c>
      <c r="AB30" s="48"/>
      <c r="AC30" s="49">
        <f t="shared" si="13"/>
        <v>-11</v>
      </c>
      <c r="AD30" s="50">
        <f t="shared" si="15"/>
        <v>36</v>
      </c>
      <c r="AE30" s="51">
        <f t="shared" si="14"/>
        <v>-11</v>
      </c>
    </row>
    <row r="31" spans="2:31" s="37" customFormat="1" ht="15.75" customHeight="1" x14ac:dyDescent="0.25">
      <c r="B31" s="93"/>
      <c r="C31" s="95" t="s">
        <v>49</v>
      </c>
      <c r="D31" s="40">
        <v>9.6609999999999996</v>
      </c>
      <c r="E31" s="41">
        <v>3144.4</v>
      </c>
      <c r="F31" s="41">
        <f t="shared" si="8"/>
        <v>30378.0484</v>
      </c>
      <c r="G31" s="98">
        <v>26880.799999999999</v>
      </c>
      <c r="H31" s="98">
        <v>18474</v>
      </c>
      <c r="I31" s="98">
        <v>5535.2</v>
      </c>
      <c r="J31" s="43">
        <f t="shared" si="16"/>
        <v>24009.200000000001</v>
      </c>
      <c r="K31" s="43"/>
      <c r="L31" s="43"/>
      <c r="M31" s="43"/>
      <c r="N31" s="43">
        <f t="shared" si="10"/>
        <v>26880.799999999999</v>
      </c>
      <c r="O31" s="43">
        <f t="shared" si="11"/>
        <v>-3497.2484000000004</v>
      </c>
      <c r="P31" s="43">
        <v>18046</v>
      </c>
      <c r="Q31" s="98">
        <v>13834.6</v>
      </c>
      <c r="R31" s="98">
        <v>4211.3</v>
      </c>
      <c r="S31" s="98"/>
      <c r="T31" s="98"/>
      <c r="U31" s="45">
        <v>-369.95299999999997</v>
      </c>
      <c r="V31" s="45">
        <v>-5.7965999999999998</v>
      </c>
      <c r="W31" s="46">
        <f t="shared" ref="W31:W40" si="17">U31+V31</f>
        <v>-375.74959999999999</v>
      </c>
      <c r="X31" s="47">
        <v>42</v>
      </c>
      <c r="Y31" s="48">
        <v>64.25</v>
      </c>
      <c r="Z31" s="48">
        <v>41</v>
      </c>
      <c r="AA31" s="48"/>
      <c r="AB31" s="48"/>
      <c r="AC31" s="49">
        <f t="shared" si="13"/>
        <v>-1</v>
      </c>
      <c r="AD31" s="50">
        <f t="shared" si="15"/>
        <v>41</v>
      </c>
      <c r="AE31" s="51">
        <f t="shared" si="14"/>
        <v>-1</v>
      </c>
    </row>
    <row r="32" spans="2:31" s="37" customFormat="1" ht="15.75" customHeight="1" x14ac:dyDescent="0.25">
      <c r="B32" s="93"/>
      <c r="C32" s="95" t="s">
        <v>50</v>
      </c>
      <c r="D32" s="40">
        <v>6.0110000000000001</v>
      </c>
      <c r="E32" s="41">
        <v>4350.2</v>
      </c>
      <c r="F32" s="41">
        <f t="shared" si="8"/>
        <v>26149.052199999998</v>
      </c>
      <c r="G32" s="98">
        <v>25989.9</v>
      </c>
      <c r="H32" s="98">
        <v>16585.099999999999</v>
      </c>
      <c r="I32" s="98">
        <v>4960.8999999999996</v>
      </c>
      <c r="J32" s="43">
        <f t="shared" si="16"/>
        <v>21546</v>
      </c>
      <c r="K32" s="43">
        <f>-26.6-8</f>
        <v>-34.6</v>
      </c>
      <c r="L32" s="43">
        <f>-34.6</f>
        <v>-34.6</v>
      </c>
      <c r="M32" s="43"/>
      <c r="N32" s="43">
        <f t="shared" si="10"/>
        <v>25955.300000000003</v>
      </c>
      <c r="O32" s="43">
        <f t="shared" si="11"/>
        <v>-193.75219999999536</v>
      </c>
      <c r="P32" s="43">
        <v>14444.6</v>
      </c>
      <c r="Q32" s="98">
        <v>11094.4</v>
      </c>
      <c r="R32" s="98">
        <v>3350.1</v>
      </c>
      <c r="S32" s="98">
        <f>-34.6</f>
        <v>-34.6</v>
      </c>
      <c r="T32" s="98"/>
      <c r="U32" s="45">
        <v>-345.86500000000001</v>
      </c>
      <c r="V32" s="45">
        <v>-3.6065999999999998</v>
      </c>
      <c r="W32" s="46">
        <f t="shared" si="17"/>
        <v>-349.47160000000002</v>
      </c>
      <c r="X32" s="47">
        <v>32</v>
      </c>
      <c r="Y32" s="48">
        <v>63</v>
      </c>
      <c r="Z32" s="48">
        <v>32</v>
      </c>
      <c r="AA32" s="48">
        <v>-1</v>
      </c>
      <c r="AB32" s="48">
        <v>-1</v>
      </c>
      <c r="AC32" s="49">
        <f t="shared" si="13"/>
        <v>-1</v>
      </c>
      <c r="AD32" s="50">
        <f t="shared" si="15"/>
        <v>31</v>
      </c>
      <c r="AE32" s="51">
        <f t="shared" si="14"/>
        <v>-1</v>
      </c>
    </row>
    <row r="33" spans="1:31" s="37" customFormat="1" ht="15.75" customHeight="1" x14ac:dyDescent="0.25">
      <c r="B33" s="93"/>
      <c r="C33" s="95" t="s">
        <v>51</v>
      </c>
      <c r="D33" s="40">
        <v>24.19</v>
      </c>
      <c r="E33" s="41">
        <v>1581.3</v>
      </c>
      <c r="F33" s="41">
        <f t="shared" si="8"/>
        <v>38251.647000000004</v>
      </c>
      <c r="G33" s="98">
        <v>37667</v>
      </c>
      <c r="H33" s="102">
        <v>27511.9</v>
      </c>
      <c r="I33" s="98">
        <v>8136</v>
      </c>
      <c r="J33" s="43">
        <f t="shared" si="16"/>
        <v>35647.9</v>
      </c>
      <c r="K33" s="43">
        <f>-692.5-208.7</f>
        <v>-901.2</v>
      </c>
      <c r="L33" s="43">
        <f>-901.2</f>
        <v>-901.2</v>
      </c>
      <c r="M33" s="43"/>
      <c r="N33" s="43">
        <f>G33+L33</f>
        <v>36765.800000000003</v>
      </c>
      <c r="O33" s="43">
        <f t="shared" si="11"/>
        <v>-1485.8470000000016</v>
      </c>
      <c r="P33" s="43">
        <v>34589.199999999997</v>
      </c>
      <c r="Q33" s="98">
        <v>26698.799999999999</v>
      </c>
      <c r="R33" s="98">
        <v>7890.4</v>
      </c>
      <c r="S33" s="98">
        <v>-858.3</v>
      </c>
      <c r="T33" s="98"/>
      <c r="U33" s="45">
        <v>-424.459</v>
      </c>
      <c r="V33" s="45">
        <v>-12.095000000000001</v>
      </c>
      <c r="W33" s="46">
        <f t="shared" si="17"/>
        <v>-436.55400000000003</v>
      </c>
      <c r="X33" s="47">
        <v>75</v>
      </c>
      <c r="Y33" s="48">
        <v>63</v>
      </c>
      <c r="Z33" s="48">
        <v>62</v>
      </c>
      <c r="AA33" s="48">
        <v>-2.35</v>
      </c>
      <c r="AB33" s="48">
        <v>-1.19</v>
      </c>
      <c r="AC33" s="49">
        <f>(Z33+AB33)-X33</f>
        <v>-14.189999999999998</v>
      </c>
      <c r="AD33" s="50">
        <f t="shared" si="15"/>
        <v>60.81</v>
      </c>
      <c r="AE33" s="51">
        <f>ROUND(AD33-X33,0)</f>
        <v>-14</v>
      </c>
    </row>
    <row r="34" spans="1:31" s="37" customFormat="1" ht="15.75" customHeight="1" x14ac:dyDescent="0.25">
      <c r="B34" s="93"/>
      <c r="C34" s="95" t="s">
        <v>52</v>
      </c>
      <c r="D34" s="40">
        <v>11.339</v>
      </c>
      <c r="E34" s="41">
        <v>2662.7</v>
      </c>
      <c r="F34" s="41">
        <f t="shared" si="8"/>
        <v>30192.355299999999</v>
      </c>
      <c r="G34" s="42">
        <v>28068.1</v>
      </c>
      <c r="H34" s="42">
        <v>19232.900000000001</v>
      </c>
      <c r="I34" s="42">
        <v>5708.8</v>
      </c>
      <c r="J34" s="43">
        <f t="shared" si="16"/>
        <v>24941.7</v>
      </c>
      <c r="K34" s="43">
        <f>-214.1-64.7</f>
        <v>-278.8</v>
      </c>
      <c r="L34" s="43">
        <v>-278.8</v>
      </c>
      <c r="M34" s="43"/>
      <c r="N34" s="43">
        <f t="shared" si="10"/>
        <v>27789.3</v>
      </c>
      <c r="O34" s="43">
        <f t="shared" si="11"/>
        <v>-2403.0553</v>
      </c>
      <c r="P34" s="43">
        <v>20879.900000000001</v>
      </c>
      <c r="Q34" s="42">
        <v>16109.3</v>
      </c>
      <c r="R34" s="42">
        <v>4770.5</v>
      </c>
      <c r="S34" s="42"/>
      <c r="T34" s="98"/>
      <c r="U34" s="45">
        <v>-375.71899999999999</v>
      </c>
      <c r="V34" s="45">
        <v>-6.8033999999999999</v>
      </c>
      <c r="W34" s="46">
        <f t="shared" si="17"/>
        <v>-382.5224</v>
      </c>
      <c r="X34" s="47">
        <v>51</v>
      </c>
      <c r="Y34" s="48">
        <v>69</v>
      </c>
      <c r="Z34" s="48">
        <v>49</v>
      </c>
      <c r="AA34" s="48">
        <v>-1.65</v>
      </c>
      <c r="AB34" s="48"/>
      <c r="AC34" s="49">
        <f t="shared" si="13"/>
        <v>-2</v>
      </c>
      <c r="AD34" s="50">
        <f t="shared" si="15"/>
        <v>49</v>
      </c>
      <c r="AE34" s="51">
        <f t="shared" si="14"/>
        <v>-2</v>
      </c>
    </row>
    <row r="35" spans="1:31" s="37" customFormat="1" ht="15.75" customHeight="1" x14ac:dyDescent="0.25">
      <c r="B35" s="93"/>
      <c r="C35" s="95" t="s">
        <v>53</v>
      </c>
      <c r="D35" s="40">
        <v>33.581000000000003</v>
      </c>
      <c r="E35" s="41">
        <v>1693.5</v>
      </c>
      <c r="F35" s="41">
        <f t="shared" si="8"/>
        <v>56869.423500000004</v>
      </c>
      <c r="G35" s="42">
        <v>51855.4</v>
      </c>
      <c r="H35" s="42">
        <v>36870.699999999997</v>
      </c>
      <c r="I35" s="42">
        <v>10985</v>
      </c>
      <c r="J35" s="43">
        <f t="shared" si="16"/>
        <v>47855.7</v>
      </c>
      <c r="K35" s="43">
        <f>-691.2-208.8</f>
        <v>-900</v>
      </c>
      <c r="L35" s="43">
        <f>-900</f>
        <v>-900</v>
      </c>
      <c r="M35" s="43"/>
      <c r="N35" s="43">
        <f t="shared" si="10"/>
        <v>50955.4</v>
      </c>
      <c r="O35" s="43">
        <f t="shared" si="11"/>
        <v>-5914.023500000003</v>
      </c>
      <c r="P35" s="43">
        <v>35178.5</v>
      </c>
      <c r="Q35" s="42">
        <v>27079.200000000001</v>
      </c>
      <c r="R35" s="42">
        <v>8099.4</v>
      </c>
      <c r="S35" s="42">
        <v>-600</v>
      </c>
      <c r="T35" s="98"/>
      <c r="U35" s="45">
        <v>-844.44399999999996</v>
      </c>
      <c r="V35" s="45">
        <v>-16.790500000000002</v>
      </c>
      <c r="W35" s="46">
        <f t="shared" si="17"/>
        <v>-861.23449999999991</v>
      </c>
      <c r="X35" s="47">
        <v>73</v>
      </c>
      <c r="Y35" s="48">
        <v>111.25</v>
      </c>
      <c r="Z35" s="48">
        <v>65</v>
      </c>
      <c r="AA35" s="48">
        <v>-3</v>
      </c>
      <c r="AB35" s="48">
        <v>-2</v>
      </c>
      <c r="AC35" s="49">
        <f t="shared" si="13"/>
        <v>-10</v>
      </c>
      <c r="AD35" s="50">
        <f t="shared" si="15"/>
        <v>63</v>
      </c>
      <c r="AE35" s="51">
        <f t="shared" si="14"/>
        <v>-10</v>
      </c>
    </row>
    <row r="36" spans="1:31" s="37" customFormat="1" ht="15.75" customHeight="1" x14ac:dyDescent="0.25">
      <c r="B36" s="93"/>
      <c r="C36" s="95" t="s">
        <v>54</v>
      </c>
      <c r="D36" s="40">
        <v>10.965999999999999</v>
      </c>
      <c r="E36" s="41">
        <v>2764.6</v>
      </c>
      <c r="F36" s="41">
        <f t="shared" si="8"/>
        <v>30316.603599999999</v>
      </c>
      <c r="G36" s="42">
        <v>25859.599999999999</v>
      </c>
      <c r="H36" s="42">
        <v>17156.900000000001</v>
      </c>
      <c r="I36" s="42">
        <v>5146</v>
      </c>
      <c r="J36" s="43">
        <f t="shared" si="16"/>
        <v>22302.9</v>
      </c>
      <c r="K36" s="43"/>
      <c r="L36" s="43"/>
      <c r="M36" s="43"/>
      <c r="N36" s="43">
        <f t="shared" si="10"/>
        <v>25859.599999999999</v>
      </c>
      <c r="O36" s="43">
        <f t="shared" si="11"/>
        <v>-4457.0036</v>
      </c>
      <c r="P36" s="43">
        <v>19304.099999999999</v>
      </c>
      <c r="Q36" s="42">
        <v>14852.5</v>
      </c>
      <c r="R36" s="42">
        <v>4451.6000000000004</v>
      </c>
      <c r="S36" s="42"/>
      <c r="T36" s="98"/>
      <c r="U36" s="45">
        <v>-374.43799999999999</v>
      </c>
      <c r="V36" s="45">
        <v>-6.5796000000000001</v>
      </c>
      <c r="W36" s="46">
        <f t="shared" si="17"/>
        <v>-381.01760000000002</v>
      </c>
      <c r="X36" s="47">
        <v>47</v>
      </c>
      <c r="Y36" s="105">
        <v>61</v>
      </c>
      <c r="Z36" s="106">
        <v>45</v>
      </c>
      <c r="AA36" s="105"/>
      <c r="AB36" s="105"/>
      <c r="AC36" s="49">
        <f t="shared" si="13"/>
        <v>-2</v>
      </c>
      <c r="AD36" s="50">
        <f t="shared" si="15"/>
        <v>45</v>
      </c>
      <c r="AE36" s="51">
        <f t="shared" si="14"/>
        <v>-2</v>
      </c>
    </row>
    <row r="37" spans="1:31" s="37" customFormat="1" ht="15.75" customHeight="1" x14ac:dyDescent="0.25">
      <c r="B37" s="93"/>
      <c r="C37" s="107" t="s">
        <v>55</v>
      </c>
      <c r="D37" s="40">
        <v>11.311999999999999</v>
      </c>
      <c r="E37" s="41">
        <v>2210</v>
      </c>
      <c r="F37" s="41">
        <f t="shared" si="8"/>
        <v>24999.52</v>
      </c>
      <c r="G37" s="98">
        <v>23818.3</v>
      </c>
      <c r="H37" s="98">
        <v>16219.1</v>
      </c>
      <c r="I37" s="98">
        <v>4763.2</v>
      </c>
      <c r="J37" s="43">
        <f t="shared" si="16"/>
        <v>20982.3</v>
      </c>
      <c r="K37" s="43">
        <f>-7.7-2.3</f>
        <v>-10</v>
      </c>
      <c r="L37" s="43">
        <v>-10</v>
      </c>
      <c r="M37" s="43"/>
      <c r="N37" s="43">
        <f t="shared" si="10"/>
        <v>23808.3</v>
      </c>
      <c r="O37" s="43">
        <f t="shared" si="11"/>
        <v>-1191.2200000000012</v>
      </c>
      <c r="P37" s="43">
        <v>19444.900000000001</v>
      </c>
      <c r="Q37" s="98">
        <v>15062.2</v>
      </c>
      <c r="R37" s="98">
        <v>4382.7</v>
      </c>
      <c r="S37" s="98">
        <v>-10</v>
      </c>
      <c r="T37" s="98"/>
      <c r="U37" s="45">
        <v>-375.62700000000001</v>
      </c>
      <c r="V37" s="45">
        <v>-6.7872000000000003</v>
      </c>
      <c r="W37" s="46">
        <f t="shared" si="17"/>
        <v>-382.41419999999999</v>
      </c>
      <c r="X37" s="47">
        <v>42</v>
      </c>
      <c r="Y37" s="48">
        <v>51.5</v>
      </c>
      <c r="Z37" s="48">
        <v>41</v>
      </c>
      <c r="AA37" s="48">
        <v>-0.1</v>
      </c>
      <c r="AB37" s="48">
        <v>-0.1</v>
      </c>
      <c r="AC37" s="49">
        <f t="shared" si="13"/>
        <v>-1.1000000000000014</v>
      </c>
      <c r="AD37" s="50">
        <v>41</v>
      </c>
      <c r="AE37" s="51">
        <f xml:space="preserve"> ROUND(AD37-X37,0)</f>
        <v>-1</v>
      </c>
    </row>
    <row r="38" spans="1:31" s="37" customFormat="1" ht="15.75" customHeight="1" x14ac:dyDescent="0.2">
      <c r="B38" s="93"/>
      <c r="C38" s="108" t="s">
        <v>56</v>
      </c>
      <c r="D38" s="40">
        <v>21.841000000000001</v>
      </c>
      <c r="E38" s="41">
        <v>1757.5</v>
      </c>
      <c r="F38" s="41">
        <f t="shared" si="8"/>
        <v>38385.557500000003</v>
      </c>
      <c r="G38" s="42">
        <v>34684.199999999997</v>
      </c>
      <c r="H38" s="42">
        <v>23092.7</v>
      </c>
      <c r="I38" s="42">
        <v>7116.1</v>
      </c>
      <c r="J38" s="43">
        <f t="shared" si="16"/>
        <v>30208.800000000003</v>
      </c>
      <c r="K38" s="43"/>
      <c r="L38" s="43"/>
      <c r="M38" s="43"/>
      <c r="N38" s="43">
        <f t="shared" si="10"/>
        <v>34684.199999999997</v>
      </c>
      <c r="O38" s="43">
        <f t="shared" si="11"/>
        <v>-3701.3575000000055</v>
      </c>
      <c r="P38" s="43">
        <v>25413.4</v>
      </c>
      <c r="Q38" s="42">
        <v>19398.2</v>
      </c>
      <c r="R38" s="42">
        <v>6015.1</v>
      </c>
      <c r="S38" s="42"/>
      <c r="T38" s="98"/>
      <c r="U38" s="45">
        <v>-416.38600000000002</v>
      </c>
      <c r="V38" s="45">
        <v>-10.920500000000001</v>
      </c>
      <c r="W38" s="46">
        <f t="shared" si="17"/>
        <v>-427.30650000000003</v>
      </c>
      <c r="X38" s="47">
        <v>52</v>
      </c>
      <c r="Y38" s="48">
        <v>66</v>
      </c>
      <c r="Z38" s="48">
        <v>51</v>
      </c>
      <c r="AA38" s="48"/>
      <c r="AB38" s="48"/>
      <c r="AC38" s="49">
        <f t="shared" si="13"/>
        <v>-1</v>
      </c>
      <c r="AD38" s="50">
        <f t="shared" si="15"/>
        <v>51</v>
      </c>
      <c r="AE38" s="51">
        <f t="shared" si="14"/>
        <v>-1</v>
      </c>
    </row>
    <row r="39" spans="1:31" s="37" customFormat="1" ht="15.75" customHeight="1" x14ac:dyDescent="0.25">
      <c r="B39" s="93"/>
      <c r="C39" s="97" t="s">
        <v>57</v>
      </c>
      <c r="D39" s="40">
        <v>23.347000000000001</v>
      </c>
      <c r="E39" s="41">
        <v>2060.6999999999998</v>
      </c>
      <c r="F39" s="41">
        <f t="shared" si="8"/>
        <v>48111.162899999996</v>
      </c>
      <c r="G39" s="42">
        <v>47701.2</v>
      </c>
      <c r="H39" s="42">
        <v>31564.799999999999</v>
      </c>
      <c r="I39" s="42">
        <v>9527.4</v>
      </c>
      <c r="J39" s="43">
        <f t="shared" si="16"/>
        <v>41092.199999999997</v>
      </c>
      <c r="K39" s="43">
        <f>-107.7-32.5</f>
        <v>-140.19999999999999</v>
      </c>
      <c r="L39" s="43">
        <f>-140.2</f>
        <v>-140.19999999999999</v>
      </c>
      <c r="M39" s="43"/>
      <c r="N39" s="43">
        <f t="shared" si="10"/>
        <v>47561</v>
      </c>
      <c r="O39" s="43">
        <f t="shared" si="11"/>
        <v>-550.16289999999572</v>
      </c>
      <c r="P39" s="43">
        <v>28301.9</v>
      </c>
      <c r="Q39" s="42">
        <v>21737.599999999999</v>
      </c>
      <c r="R39" s="42">
        <v>6564.3</v>
      </c>
      <c r="S39" s="42"/>
      <c r="T39" s="98"/>
      <c r="U39" s="45">
        <v>-421.56200000000001</v>
      </c>
      <c r="V39" s="45">
        <v>-11.673500000000001</v>
      </c>
      <c r="W39" s="46">
        <f t="shared" si="17"/>
        <v>-433.2355</v>
      </c>
      <c r="X39" s="47">
        <v>70</v>
      </c>
      <c r="Y39" s="105">
        <v>110</v>
      </c>
      <c r="Z39" s="106">
        <v>63</v>
      </c>
      <c r="AA39" s="105">
        <v>-0.5</v>
      </c>
      <c r="AB39" s="105"/>
      <c r="AC39" s="49">
        <f t="shared" si="13"/>
        <v>-7</v>
      </c>
      <c r="AD39" s="50">
        <f t="shared" si="15"/>
        <v>63</v>
      </c>
      <c r="AE39" s="51">
        <f t="shared" si="14"/>
        <v>-7</v>
      </c>
    </row>
    <row r="40" spans="1:31" s="37" customFormat="1" ht="15.75" customHeight="1" thickBot="1" x14ac:dyDescent="0.3">
      <c r="B40" s="109"/>
      <c r="C40" s="110" t="s">
        <v>58</v>
      </c>
      <c r="D40" s="57">
        <v>13.407999999999999</v>
      </c>
      <c r="E40" s="58">
        <v>2122.3000000000002</v>
      </c>
      <c r="F40" s="58">
        <f t="shared" si="8"/>
        <v>28455.7984</v>
      </c>
      <c r="G40" s="59">
        <v>20586.2</v>
      </c>
      <c r="H40" s="59">
        <v>14664.6</v>
      </c>
      <c r="I40" s="59">
        <v>4497.7</v>
      </c>
      <c r="J40" s="60">
        <v>4267.2</v>
      </c>
      <c r="K40" s="60">
        <f>532.2+148.8</f>
        <v>681</v>
      </c>
      <c r="L40" s="60">
        <v>681</v>
      </c>
      <c r="M40" s="60"/>
      <c r="N40" s="60">
        <f t="shared" si="10"/>
        <v>21267.200000000001</v>
      </c>
      <c r="O40" s="60">
        <f t="shared" si="11"/>
        <v>-7188.5983999999989</v>
      </c>
      <c r="P40" s="60">
        <v>18978.7</v>
      </c>
      <c r="Q40" s="59">
        <v>14535.6</v>
      </c>
      <c r="R40" s="59">
        <v>4443.1000000000004</v>
      </c>
      <c r="S40" s="111">
        <v>231.4</v>
      </c>
      <c r="T40" s="112"/>
      <c r="U40" s="62">
        <v>-382.83</v>
      </c>
      <c r="V40" s="62">
        <v>-8.0448000000000004</v>
      </c>
      <c r="W40" s="63">
        <f t="shared" si="17"/>
        <v>-390.87479999999999</v>
      </c>
      <c r="X40" s="64">
        <v>60</v>
      </c>
      <c r="Y40" s="65">
        <v>51</v>
      </c>
      <c r="Z40" s="65">
        <v>49</v>
      </c>
      <c r="AA40" s="65">
        <v>2.5</v>
      </c>
      <c r="AB40" s="65">
        <v>0.5</v>
      </c>
      <c r="AC40" s="66">
        <f t="shared" si="13"/>
        <v>-10.5</v>
      </c>
      <c r="AD40" s="67">
        <f t="shared" si="15"/>
        <v>49.5</v>
      </c>
      <c r="AE40" s="68">
        <f t="shared" si="14"/>
        <v>-10.5</v>
      </c>
    </row>
    <row r="41" spans="1:31" ht="36" customHeight="1" thickBot="1" x14ac:dyDescent="0.3">
      <c r="A41" s="113"/>
      <c r="B41" s="114"/>
      <c r="C41" s="115" t="s">
        <v>59</v>
      </c>
      <c r="D41" s="71"/>
      <c r="E41" s="72"/>
      <c r="F41" s="72"/>
      <c r="G41" s="80"/>
      <c r="H41" s="116"/>
      <c r="I41" s="116"/>
      <c r="J41" s="74">
        <f t="shared" si="1"/>
        <v>0</v>
      </c>
      <c r="K41" s="74"/>
      <c r="L41" s="74"/>
      <c r="M41" s="74"/>
      <c r="N41" s="74"/>
      <c r="O41" s="74"/>
      <c r="P41" s="116"/>
      <c r="Q41" s="116"/>
      <c r="R41" s="116"/>
      <c r="S41" s="116"/>
      <c r="T41" s="75"/>
      <c r="U41" s="79"/>
      <c r="V41" s="117"/>
      <c r="W41" s="77"/>
      <c r="X41" s="78"/>
      <c r="Y41" s="79"/>
      <c r="Z41" s="79"/>
      <c r="AA41" s="79"/>
      <c r="AB41" s="79"/>
      <c r="AC41" s="79"/>
      <c r="AD41" s="81"/>
      <c r="AE41" s="80"/>
    </row>
    <row r="42" spans="1:31" ht="15" customHeight="1" x14ac:dyDescent="0.25">
      <c r="A42" s="113"/>
      <c r="B42" s="118" t="s">
        <v>38</v>
      </c>
      <c r="C42" s="119" t="s">
        <v>60</v>
      </c>
      <c r="D42" s="83">
        <v>34.308999999999997</v>
      </c>
      <c r="E42" s="84">
        <v>60.1</v>
      </c>
      <c r="F42" s="84">
        <f t="shared" ref="F42:F46" si="18">E42*D42</f>
        <v>2061.9708999999998</v>
      </c>
      <c r="G42" s="120"/>
      <c r="H42" s="120"/>
      <c r="I42" s="120"/>
      <c r="J42" s="86"/>
      <c r="K42" s="86"/>
      <c r="L42" s="86"/>
      <c r="M42" s="86"/>
      <c r="N42" s="86">
        <v>0</v>
      </c>
      <c r="O42" s="86">
        <f>N42-F42</f>
        <v>-2061.9708999999998</v>
      </c>
      <c r="P42" s="86"/>
      <c r="Q42" s="120"/>
      <c r="R42" s="120"/>
      <c r="S42" s="120"/>
      <c r="T42" s="87"/>
      <c r="U42" s="121"/>
      <c r="V42" s="121"/>
      <c r="W42" s="89">
        <f t="shared" ref="W42:W46" si="19">U42+V42</f>
        <v>0</v>
      </c>
      <c r="X42" s="90">
        <v>2</v>
      </c>
      <c r="Y42" s="32"/>
      <c r="Z42" s="32"/>
      <c r="AA42" s="32"/>
      <c r="AB42" s="32"/>
      <c r="AC42" s="91"/>
      <c r="AD42" s="35">
        <f t="shared" si="6"/>
        <v>0</v>
      </c>
      <c r="AE42" s="92">
        <f t="shared" si="7"/>
        <v>-2</v>
      </c>
    </row>
    <row r="43" spans="1:31" ht="15" customHeight="1" x14ac:dyDescent="0.25">
      <c r="A43" s="113"/>
      <c r="B43" s="122"/>
      <c r="C43" s="123" t="s">
        <v>61</v>
      </c>
      <c r="D43" s="40">
        <v>1.3859999999999999</v>
      </c>
      <c r="E43" s="41">
        <v>1934.1</v>
      </c>
      <c r="F43" s="41">
        <f t="shared" si="18"/>
        <v>2680.6625999999997</v>
      </c>
      <c r="G43" s="124">
        <v>2501.6999999999998</v>
      </c>
      <c r="H43" s="124">
        <v>1657.6</v>
      </c>
      <c r="I43" s="124">
        <v>492.6</v>
      </c>
      <c r="J43" s="43">
        <f t="shared" si="1"/>
        <v>2150.1999999999998</v>
      </c>
      <c r="K43" s="43"/>
      <c r="L43" s="43">
        <v>0.6</v>
      </c>
      <c r="M43" s="43"/>
      <c r="N43" s="43">
        <f>G43+L43</f>
        <v>2502.2999999999997</v>
      </c>
      <c r="O43" s="43">
        <f>N43-F43</f>
        <v>-178.36259999999993</v>
      </c>
      <c r="P43" s="43">
        <v>699.7</v>
      </c>
      <c r="Q43" s="96">
        <v>537.4</v>
      </c>
      <c r="R43" s="96">
        <v>162.30000000000001</v>
      </c>
      <c r="S43" s="96"/>
      <c r="T43" s="44">
        <f>P43+S43</f>
        <v>699.7</v>
      </c>
      <c r="U43" s="125"/>
      <c r="V43" s="125"/>
      <c r="W43" s="46">
        <f t="shared" si="19"/>
        <v>0</v>
      </c>
      <c r="X43" s="47">
        <v>4</v>
      </c>
      <c r="Y43" s="48">
        <v>6</v>
      </c>
      <c r="Z43" s="48">
        <v>1</v>
      </c>
      <c r="AA43" s="48"/>
      <c r="AB43" s="48"/>
      <c r="AC43" s="49">
        <f t="shared" ref="AC43:AC46" si="20">(Z43+AB43)-X43</f>
        <v>-3</v>
      </c>
      <c r="AD43" s="50">
        <f t="shared" si="6"/>
        <v>1</v>
      </c>
      <c r="AE43" s="51">
        <f t="shared" si="7"/>
        <v>-3</v>
      </c>
    </row>
    <row r="44" spans="1:31" ht="15" customHeight="1" x14ac:dyDescent="0.25">
      <c r="A44" s="113"/>
      <c r="B44" s="122"/>
      <c r="C44" s="123" t="s">
        <v>62</v>
      </c>
      <c r="D44" s="40">
        <v>1.728</v>
      </c>
      <c r="E44" s="41">
        <v>2026.4</v>
      </c>
      <c r="F44" s="41">
        <f t="shared" si="18"/>
        <v>3501.6192000000001</v>
      </c>
      <c r="G44" s="96">
        <v>2891.4</v>
      </c>
      <c r="H44" s="96">
        <v>1872.4</v>
      </c>
      <c r="I44" s="96">
        <v>564.4</v>
      </c>
      <c r="J44" s="43">
        <f t="shared" si="1"/>
        <v>2436.8000000000002</v>
      </c>
      <c r="K44" s="43"/>
      <c r="L44" s="43">
        <v>0.6</v>
      </c>
      <c r="M44" s="43"/>
      <c r="N44" s="43">
        <f>G44+L44</f>
        <v>2892</v>
      </c>
      <c r="O44" s="43">
        <f>N44-F44</f>
        <v>-609.61920000000009</v>
      </c>
      <c r="P44" s="43">
        <v>643.20000000000005</v>
      </c>
      <c r="Q44" s="96">
        <v>494.9</v>
      </c>
      <c r="R44" s="96">
        <v>148.30000000000001</v>
      </c>
      <c r="S44" s="96"/>
      <c r="T44" s="44">
        <f t="shared" ref="T44:T46" si="21">P44+S44</f>
        <v>643.20000000000005</v>
      </c>
      <c r="U44" s="125"/>
      <c r="V44" s="125"/>
      <c r="W44" s="46">
        <f t="shared" si="19"/>
        <v>0</v>
      </c>
      <c r="X44" s="47">
        <v>5</v>
      </c>
      <c r="Y44" s="48">
        <v>6.25</v>
      </c>
      <c r="Z44" s="48">
        <v>1</v>
      </c>
      <c r="AA44" s="48"/>
      <c r="AB44" s="48"/>
      <c r="AC44" s="49">
        <f t="shared" si="20"/>
        <v>-4</v>
      </c>
      <c r="AD44" s="50">
        <f t="shared" si="6"/>
        <v>1</v>
      </c>
      <c r="AE44" s="51">
        <f t="shared" si="7"/>
        <v>-4</v>
      </c>
    </row>
    <row r="45" spans="1:31" ht="15" customHeight="1" x14ac:dyDescent="0.25">
      <c r="A45" s="113"/>
      <c r="B45" s="122"/>
      <c r="C45" s="123" t="s">
        <v>63</v>
      </c>
      <c r="D45" s="40">
        <v>0.95399999999999996</v>
      </c>
      <c r="E45" s="41">
        <v>1824.7</v>
      </c>
      <c r="F45" s="41">
        <f t="shared" si="18"/>
        <v>1740.7637999999999</v>
      </c>
      <c r="G45" s="96">
        <v>1740.1</v>
      </c>
      <c r="H45" s="96">
        <v>1265</v>
      </c>
      <c r="I45" s="96">
        <v>382.9</v>
      </c>
      <c r="J45" s="43">
        <f t="shared" si="1"/>
        <v>1647.9</v>
      </c>
      <c r="K45" s="43"/>
      <c r="L45" s="43">
        <v>0.6</v>
      </c>
      <c r="M45" s="43"/>
      <c r="N45" s="43">
        <f>G45+L45</f>
        <v>1740.6999999999998</v>
      </c>
      <c r="O45" s="43">
        <f>N45-F45</f>
        <v>-6.3800000000128421E-2</v>
      </c>
      <c r="P45" s="43">
        <v>1015.9</v>
      </c>
      <c r="Q45" s="96">
        <v>780.2</v>
      </c>
      <c r="R45" s="96">
        <v>235.6</v>
      </c>
      <c r="S45" s="96"/>
      <c r="T45" s="44">
        <f t="shared" si="21"/>
        <v>1015.9</v>
      </c>
      <c r="U45" s="125"/>
      <c r="V45" s="125"/>
      <c r="W45" s="46">
        <f t="shared" si="19"/>
        <v>0</v>
      </c>
      <c r="X45" s="47">
        <v>4</v>
      </c>
      <c r="Y45" s="48">
        <v>4</v>
      </c>
      <c r="Z45" s="48">
        <v>2</v>
      </c>
      <c r="AA45" s="48"/>
      <c r="AB45" s="48"/>
      <c r="AC45" s="49">
        <f t="shared" si="20"/>
        <v>-2</v>
      </c>
      <c r="AD45" s="50">
        <f t="shared" si="6"/>
        <v>2</v>
      </c>
      <c r="AE45" s="51">
        <f t="shared" si="7"/>
        <v>-2</v>
      </c>
    </row>
    <row r="46" spans="1:31" ht="15" customHeight="1" x14ac:dyDescent="0.25">
      <c r="A46" s="113"/>
      <c r="B46" s="122"/>
      <c r="C46" s="123" t="s">
        <v>64</v>
      </c>
      <c r="D46" s="40">
        <v>0.98</v>
      </c>
      <c r="E46" s="41">
        <v>2096</v>
      </c>
      <c r="F46" s="41">
        <f t="shared" si="18"/>
        <v>2054.08</v>
      </c>
      <c r="G46" s="96">
        <v>1896.9</v>
      </c>
      <c r="H46" s="96">
        <v>1354</v>
      </c>
      <c r="I46" s="96">
        <v>454.4</v>
      </c>
      <c r="J46" s="43">
        <f t="shared" si="1"/>
        <v>1808.4</v>
      </c>
      <c r="K46" s="43"/>
      <c r="L46" s="43">
        <v>0.6</v>
      </c>
      <c r="M46" s="43"/>
      <c r="N46" s="43">
        <f>G46+L46</f>
        <v>1897.5</v>
      </c>
      <c r="O46" s="43">
        <f>N46-F46</f>
        <v>-156.57999999999993</v>
      </c>
      <c r="P46" s="43">
        <v>576.9</v>
      </c>
      <c r="Q46" s="96">
        <v>443.1</v>
      </c>
      <c r="R46" s="96">
        <v>133.80000000000001</v>
      </c>
      <c r="S46" s="96"/>
      <c r="T46" s="44">
        <f t="shared" si="21"/>
        <v>576.9</v>
      </c>
      <c r="U46" s="125"/>
      <c r="V46" s="125"/>
      <c r="W46" s="46">
        <f t="shared" si="19"/>
        <v>0</v>
      </c>
      <c r="X46" s="47">
        <v>4</v>
      </c>
      <c r="Y46" s="48">
        <v>4.5</v>
      </c>
      <c r="Z46" s="48">
        <v>1</v>
      </c>
      <c r="AA46" s="48"/>
      <c r="AB46" s="48"/>
      <c r="AC46" s="49">
        <f t="shared" si="20"/>
        <v>-3</v>
      </c>
      <c r="AD46" s="50">
        <f t="shared" si="6"/>
        <v>1</v>
      </c>
      <c r="AE46" s="51">
        <f t="shared" si="7"/>
        <v>-3</v>
      </c>
    </row>
    <row r="47" spans="1:31" ht="15" customHeight="1" thickBot="1" x14ac:dyDescent="0.3">
      <c r="A47" s="113"/>
      <c r="B47" s="126"/>
      <c r="C47" s="127" t="s">
        <v>65</v>
      </c>
      <c r="D47" s="128">
        <f>ROUND(SUM(D42:D46),3)</f>
        <v>39.356999999999999</v>
      </c>
      <c r="E47" s="58"/>
      <c r="F47" s="58"/>
      <c r="G47" s="129"/>
      <c r="H47" s="129">
        <f>ROUND(SUM(H42:H46),3)</f>
        <v>6149</v>
      </c>
      <c r="I47" s="129">
        <f>ROUND(SUM(I42:I46),3)</f>
        <v>1894.3</v>
      </c>
      <c r="J47" s="129">
        <f>ROUND(SUM(J42:J46),3)</f>
        <v>8043.3</v>
      </c>
      <c r="K47" s="129"/>
      <c r="L47" s="129">
        <f>ROUND(SUM(L42:L46),3)</f>
        <v>2.4</v>
      </c>
      <c r="M47" s="129"/>
      <c r="N47" s="129">
        <f>ROUND(SUM(N42:N46),3)</f>
        <v>9032.5</v>
      </c>
      <c r="O47" s="129"/>
      <c r="P47" s="129">
        <f t="shared" ref="P47:W47" si="22">ROUND(SUM(P42:P46),3)</f>
        <v>2935.7</v>
      </c>
      <c r="Q47" s="129">
        <f t="shared" si="22"/>
        <v>2255.6</v>
      </c>
      <c r="R47" s="129">
        <f t="shared" si="22"/>
        <v>680</v>
      </c>
      <c r="S47" s="129">
        <f t="shared" si="22"/>
        <v>0</v>
      </c>
      <c r="T47" s="129">
        <f t="shared" si="22"/>
        <v>2935.7</v>
      </c>
      <c r="U47" s="129">
        <f t="shared" si="22"/>
        <v>0</v>
      </c>
      <c r="V47" s="129">
        <f t="shared" si="22"/>
        <v>0</v>
      </c>
      <c r="W47" s="130">
        <f t="shared" si="22"/>
        <v>0</v>
      </c>
      <c r="X47" s="131"/>
      <c r="Y47" s="129">
        <f>ROUND(SUM(Y42:Y46),3)</f>
        <v>20.75</v>
      </c>
      <c r="Z47" s="131">
        <f>ROUND(SUM(Z42:Z46),3)</f>
        <v>5</v>
      </c>
      <c r="AA47" s="131">
        <f>ROUND(SUM(AA42:AA46),3)</f>
        <v>0</v>
      </c>
      <c r="AB47" s="131">
        <f>ROUND(SUM(AB42:AB46),3)</f>
        <v>0</v>
      </c>
      <c r="AC47" s="131">
        <f>ROUND(SUM(AC42:AC46),3)</f>
        <v>-12</v>
      </c>
      <c r="AD47" s="67">
        <f>Z47+AB47</f>
        <v>5</v>
      </c>
      <c r="AE47" s="68"/>
    </row>
    <row r="48" spans="1:31" ht="15.75" x14ac:dyDescent="0.25">
      <c r="B48" s="118" t="s">
        <v>39</v>
      </c>
      <c r="C48" s="132" t="s">
        <v>66</v>
      </c>
      <c r="D48" s="83">
        <v>2.2309999999999999</v>
      </c>
      <c r="E48" s="84">
        <v>213.7</v>
      </c>
      <c r="F48" s="84">
        <f t="shared" ref="F48:F51" si="23">E48*D48</f>
        <v>476.76469999999995</v>
      </c>
      <c r="G48" s="120"/>
      <c r="H48" s="120"/>
      <c r="I48" s="120"/>
      <c r="J48" s="86"/>
      <c r="K48" s="86"/>
      <c r="L48" s="86"/>
      <c r="M48" s="86"/>
      <c r="N48" s="86">
        <v>0</v>
      </c>
      <c r="O48" s="43">
        <f>N48-F48</f>
        <v>-476.76469999999995</v>
      </c>
      <c r="P48" s="86"/>
      <c r="Q48" s="120"/>
      <c r="R48" s="120"/>
      <c r="S48" s="120"/>
      <c r="T48" s="133"/>
      <c r="U48" s="121"/>
      <c r="V48" s="121"/>
      <c r="W48" s="89">
        <f>U48+V48</f>
        <v>0</v>
      </c>
      <c r="X48" s="90">
        <v>0</v>
      </c>
      <c r="Y48" s="32"/>
      <c r="Z48" s="32"/>
      <c r="AA48" s="32"/>
      <c r="AB48" s="32"/>
      <c r="AC48" s="91"/>
      <c r="AD48" s="35">
        <f t="shared" si="6"/>
        <v>0</v>
      </c>
      <c r="AE48" s="92">
        <f t="shared" si="7"/>
        <v>0</v>
      </c>
    </row>
    <row r="49" spans="1:31" ht="15.75" x14ac:dyDescent="0.25">
      <c r="B49" s="122"/>
      <c r="C49" s="95" t="s">
        <v>67</v>
      </c>
      <c r="D49" s="40">
        <v>0.497</v>
      </c>
      <c r="E49" s="41">
        <v>2356.8000000000002</v>
      </c>
      <c r="F49" s="41">
        <f t="shared" si="23"/>
        <v>1171.3296</v>
      </c>
      <c r="G49" s="96">
        <v>1171.3</v>
      </c>
      <c r="H49" s="96">
        <v>890.4</v>
      </c>
      <c r="I49" s="96">
        <v>267.5</v>
      </c>
      <c r="J49" s="43">
        <v>584.9</v>
      </c>
      <c r="K49" s="43"/>
      <c r="L49" s="43">
        <v>0</v>
      </c>
      <c r="M49" s="43"/>
      <c r="N49" s="43">
        <f>G49+L49</f>
        <v>1171.3</v>
      </c>
      <c r="O49" s="43">
        <f>N49-F49</f>
        <v>-2.9600000000073123E-2</v>
      </c>
      <c r="P49" s="43">
        <v>651.70000000000005</v>
      </c>
      <c r="Q49" s="96">
        <v>501.5</v>
      </c>
      <c r="R49" s="96">
        <v>150.19999999999999</v>
      </c>
      <c r="S49" s="96"/>
      <c r="T49" s="44">
        <f t="shared" ref="T49:T51" si="24">P49+S49</f>
        <v>651.70000000000005</v>
      </c>
      <c r="U49" s="125"/>
      <c r="V49" s="125"/>
      <c r="W49" s="46">
        <f>U49+V49</f>
        <v>0</v>
      </c>
      <c r="X49" s="47">
        <v>3</v>
      </c>
      <c r="Y49" s="48">
        <v>5</v>
      </c>
      <c r="Z49" s="48">
        <v>2</v>
      </c>
      <c r="AA49" s="48"/>
      <c r="AB49" s="48"/>
      <c r="AC49" s="49">
        <f t="shared" ref="AC49:AC51" si="25">(Z49+AB49)-X49</f>
        <v>-1</v>
      </c>
      <c r="AD49" s="50">
        <f t="shared" si="6"/>
        <v>2</v>
      </c>
      <c r="AE49" s="51">
        <f t="shared" si="7"/>
        <v>-1</v>
      </c>
    </row>
    <row r="50" spans="1:31" ht="15.75" x14ac:dyDescent="0.25">
      <c r="B50" s="122"/>
      <c r="C50" s="95" t="s">
        <v>68</v>
      </c>
      <c r="D50" s="40">
        <v>1.431</v>
      </c>
      <c r="E50" s="41">
        <v>2132.8000000000002</v>
      </c>
      <c r="F50" s="41">
        <f t="shared" si="23"/>
        <v>3052.0368000000003</v>
      </c>
      <c r="G50" s="96">
        <v>2567.8000000000002</v>
      </c>
      <c r="H50" s="96">
        <v>1668.2</v>
      </c>
      <c r="I50" s="96">
        <v>533.79999999999995</v>
      </c>
      <c r="J50" s="43">
        <f>H50+I50</f>
        <v>2202</v>
      </c>
      <c r="K50" s="43"/>
      <c r="L50" s="43">
        <v>0</v>
      </c>
      <c r="M50" s="43"/>
      <c r="N50" s="43">
        <f>G50+L50</f>
        <v>2567.8000000000002</v>
      </c>
      <c r="O50" s="43">
        <f>N50-F50</f>
        <v>-484.23680000000013</v>
      </c>
      <c r="P50" s="43">
        <v>1573.7</v>
      </c>
      <c r="Q50" s="96">
        <v>1209.5999999999999</v>
      </c>
      <c r="R50" s="96">
        <v>364.1</v>
      </c>
      <c r="S50" s="96"/>
      <c r="T50" s="44">
        <f t="shared" si="24"/>
        <v>1573.7</v>
      </c>
      <c r="U50" s="125"/>
      <c r="V50" s="125"/>
      <c r="W50" s="46">
        <f>U50+V50</f>
        <v>0</v>
      </c>
      <c r="X50" s="47">
        <v>4</v>
      </c>
      <c r="Y50" s="48">
        <v>8</v>
      </c>
      <c r="Z50" s="48">
        <v>4</v>
      </c>
      <c r="AA50" s="48"/>
      <c r="AB50" s="48"/>
      <c r="AC50" s="49">
        <f t="shared" si="25"/>
        <v>0</v>
      </c>
      <c r="AD50" s="50">
        <f t="shared" si="6"/>
        <v>4</v>
      </c>
      <c r="AE50" s="51">
        <f t="shared" si="7"/>
        <v>0</v>
      </c>
    </row>
    <row r="51" spans="1:31" ht="15.75" x14ac:dyDescent="0.25">
      <c r="B51" s="122"/>
      <c r="C51" s="95" t="s">
        <v>69</v>
      </c>
      <c r="D51" s="40">
        <v>0.43099999999999999</v>
      </c>
      <c r="E51" s="41">
        <v>2539.1</v>
      </c>
      <c r="F51" s="41">
        <f t="shared" si="23"/>
        <v>1094.3520999999998</v>
      </c>
      <c r="G51" s="96">
        <v>1094.4000000000001</v>
      </c>
      <c r="H51" s="96">
        <v>826</v>
      </c>
      <c r="I51" s="96">
        <v>246.2</v>
      </c>
      <c r="J51" s="43">
        <f>H51+I51</f>
        <v>1072.2</v>
      </c>
      <c r="K51" s="43"/>
      <c r="L51" s="43">
        <v>0</v>
      </c>
      <c r="M51" s="43"/>
      <c r="N51" s="43">
        <f>G51+L51</f>
        <v>1094.4000000000001</v>
      </c>
      <c r="O51" s="43">
        <f>N51-F51</f>
        <v>4.7900000000254295E-2</v>
      </c>
      <c r="P51" s="43">
        <v>912.2</v>
      </c>
      <c r="Q51" s="134">
        <v>703.2</v>
      </c>
      <c r="R51" s="96">
        <v>209</v>
      </c>
      <c r="S51" s="96"/>
      <c r="T51" s="44">
        <f t="shared" si="24"/>
        <v>912.2</v>
      </c>
      <c r="U51" s="125"/>
      <c r="V51" s="125"/>
      <c r="W51" s="46">
        <f>U51+V51</f>
        <v>0</v>
      </c>
      <c r="X51" s="47">
        <v>3</v>
      </c>
      <c r="Y51" s="48">
        <v>4.25</v>
      </c>
      <c r="Z51" s="48">
        <v>2.75</v>
      </c>
      <c r="AA51" s="48"/>
      <c r="AB51" s="48"/>
      <c r="AC51" s="49">
        <f t="shared" si="25"/>
        <v>-0.25</v>
      </c>
      <c r="AD51" s="50">
        <f t="shared" si="6"/>
        <v>2.75</v>
      </c>
      <c r="AE51" s="51">
        <v>-0.2</v>
      </c>
    </row>
    <row r="52" spans="1:31" ht="15" customHeight="1" thickBot="1" x14ac:dyDescent="0.3">
      <c r="A52" s="113"/>
      <c r="B52" s="126"/>
      <c r="C52" s="127" t="s">
        <v>65</v>
      </c>
      <c r="D52" s="135">
        <f t="shared" ref="D52" si="26">SUM(D48:D51)</f>
        <v>4.59</v>
      </c>
      <c r="E52" s="58"/>
      <c r="F52" s="58"/>
      <c r="G52" s="136">
        <f t="shared" ref="G52:I52" si="27">SUM(G48:G51)</f>
        <v>4833.5</v>
      </c>
      <c r="H52" s="136">
        <f t="shared" si="27"/>
        <v>3384.6</v>
      </c>
      <c r="I52" s="136">
        <f t="shared" si="27"/>
        <v>1047.5</v>
      </c>
      <c r="J52" s="136">
        <f>SUM(J48:J51)</f>
        <v>3859.1000000000004</v>
      </c>
      <c r="K52" s="136"/>
      <c r="L52" s="136">
        <f t="shared" ref="L52:W52" si="28">SUM(L48:L51)</f>
        <v>0</v>
      </c>
      <c r="M52" s="136"/>
      <c r="N52" s="136">
        <f t="shared" si="28"/>
        <v>4833.5</v>
      </c>
      <c r="O52" s="60"/>
      <c r="P52" s="136">
        <f>SUM(P48:P51)</f>
        <v>3137.6000000000004</v>
      </c>
      <c r="Q52" s="136">
        <f t="shared" ref="Q52:S52" si="29">SUM(Q48:Q51)</f>
        <v>2414.3000000000002</v>
      </c>
      <c r="R52" s="136">
        <f t="shared" si="29"/>
        <v>723.3</v>
      </c>
      <c r="S52" s="136">
        <f t="shared" si="29"/>
        <v>0</v>
      </c>
      <c r="T52" s="129">
        <f>ROUND(SUM(T49:V51),3)</f>
        <v>3137.6</v>
      </c>
      <c r="U52" s="136">
        <f t="shared" si="28"/>
        <v>0</v>
      </c>
      <c r="V52" s="136">
        <f t="shared" si="28"/>
        <v>0</v>
      </c>
      <c r="W52" s="130">
        <f t="shared" si="28"/>
        <v>0</v>
      </c>
      <c r="X52" s="131"/>
      <c r="Y52" s="136">
        <f>SUM(Y48:Y51)</f>
        <v>17.25</v>
      </c>
      <c r="Z52" s="136">
        <f>SUM(Z48:Z51)</f>
        <v>8.75</v>
      </c>
      <c r="AA52" s="136"/>
      <c r="AB52" s="136"/>
      <c r="AC52" s="65"/>
      <c r="AD52" s="67">
        <f t="shared" si="6"/>
        <v>8.75</v>
      </c>
      <c r="AE52" s="68"/>
    </row>
    <row r="53" spans="1:31" ht="15.75" x14ac:dyDescent="0.25">
      <c r="A53" s="113"/>
      <c r="B53" s="118" t="s">
        <v>40</v>
      </c>
      <c r="C53" s="119" t="s">
        <v>70</v>
      </c>
      <c r="D53" s="83">
        <v>3.65</v>
      </c>
      <c r="E53" s="84">
        <v>1099.5</v>
      </c>
      <c r="F53" s="84">
        <f t="shared" ref="F53:F58" si="30">E53*D53</f>
        <v>4013.1749999999997</v>
      </c>
      <c r="G53" s="120">
        <v>3765.5</v>
      </c>
      <c r="H53" s="120">
        <v>2517.6999999999998</v>
      </c>
      <c r="I53" s="120">
        <v>760.3</v>
      </c>
      <c r="J53" s="86">
        <f t="shared" ref="J53:J58" si="31">H53+I53</f>
        <v>3278</v>
      </c>
      <c r="K53" s="86">
        <f>85.8+25.7</f>
        <v>111.5</v>
      </c>
      <c r="L53" s="86">
        <v>113.7</v>
      </c>
      <c r="M53" s="86"/>
      <c r="N53" s="86">
        <f t="shared" ref="N53:N58" si="32">G53+L53</f>
        <v>3879.2</v>
      </c>
      <c r="O53" s="86">
        <f t="shared" ref="O53:O58" si="33">N53-F53</f>
        <v>-133.97499999999991</v>
      </c>
      <c r="P53" s="86">
        <v>2542.4</v>
      </c>
      <c r="Q53" s="120">
        <v>1955.7</v>
      </c>
      <c r="R53" s="120">
        <v>586.70000000000005</v>
      </c>
      <c r="S53" s="120"/>
      <c r="T53" s="87">
        <f t="shared" ref="T53:T58" si="34">P53+S53</f>
        <v>2542.4</v>
      </c>
      <c r="U53" s="121"/>
      <c r="V53" s="121"/>
      <c r="W53" s="89">
        <f t="shared" ref="W53:W58" si="35">U53+V53</f>
        <v>0</v>
      </c>
      <c r="X53" s="90">
        <v>6</v>
      </c>
      <c r="Y53" s="32">
        <v>9</v>
      </c>
      <c r="Z53" s="32">
        <v>6</v>
      </c>
      <c r="AA53" s="32">
        <v>0.4</v>
      </c>
      <c r="AB53" s="32"/>
      <c r="AC53" s="91">
        <f t="shared" ref="AC53:AC58" si="36">(Z53+AB53)-X53</f>
        <v>0</v>
      </c>
      <c r="AD53" s="35">
        <f t="shared" si="6"/>
        <v>6</v>
      </c>
      <c r="AE53" s="92">
        <f t="shared" si="7"/>
        <v>0</v>
      </c>
    </row>
    <row r="54" spans="1:31" ht="15.75" x14ac:dyDescent="0.25">
      <c r="A54" s="113"/>
      <c r="B54" s="122"/>
      <c r="C54" s="95" t="s">
        <v>71</v>
      </c>
      <c r="D54" s="40">
        <v>2.3159999999999998</v>
      </c>
      <c r="E54" s="41">
        <v>1486.2</v>
      </c>
      <c r="F54" s="41">
        <f t="shared" si="30"/>
        <v>3442.0391999999997</v>
      </c>
      <c r="G54" s="124">
        <v>3038.9</v>
      </c>
      <c r="H54" s="124">
        <v>1759.3</v>
      </c>
      <c r="I54" s="124">
        <v>497.3</v>
      </c>
      <c r="J54" s="43">
        <f t="shared" si="31"/>
        <v>2256.6</v>
      </c>
      <c r="K54" s="43">
        <f>55+16.5</f>
        <v>71.5</v>
      </c>
      <c r="L54" s="43">
        <v>72.900000000000006</v>
      </c>
      <c r="M54" s="43"/>
      <c r="N54" s="43">
        <f t="shared" si="32"/>
        <v>3111.8</v>
      </c>
      <c r="O54" s="43">
        <f t="shared" si="33"/>
        <v>-330.23919999999953</v>
      </c>
      <c r="P54" s="43">
        <v>1306.2</v>
      </c>
      <c r="Q54" s="124">
        <v>1006</v>
      </c>
      <c r="R54" s="124">
        <v>300.2</v>
      </c>
      <c r="S54" s="137"/>
      <c r="T54" s="44">
        <f t="shared" si="34"/>
        <v>1306.2</v>
      </c>
      <c r="U54" s="138"/>
      <c r="V54" s="138"/>
      <c r="W54" s="46">
        <f t="shared" si="35"/>
        <v>0</v>
      </c>
      <c r="X54" s="47">
        <v>4</v>
      </c>
      <c r="Y54" s="48">
        <v>7</v>
      </c>
      <c r="Z54" s="48">
        <v>3</v>
      </c>
      <c r="AA54" s="48">
        <v>0.3</v>
      </c>
      <c r="AB54" s="48"/>
      <c r="AC54" s="49">
        <f t="shared" si="36"/>
        <v>-1</v>
      </c>
      <c r="AD54" s="50">
        <f t="shared" si="6"/>
        <v>3</v>
      </c>
      <c r="AE54" s="51">
        <f t="shared" si="7"/>
        <v>-1</v>
      </c>
    </row>
    <row r="55" spans="1:31" ht="15.75" x14ac:dyDescent="0.25">
      <c r="A55" s="113"/>
      <c r="B55" s="122"/>
      <c r="C55" s="95" t="s">
        <v>72</v>
      </c>
      <c r="D55" s="40">
        <v>4.8109999999999999</v>
      </c>
      <c r="E55" s="41">
        <v>1102.8</v>
      </c>
      <c r="F55" s="41">
        <f t="shared" si="30"/>
        <v>5305.5707999999995</v>
      </c>
      <c r="G55" s="124">
        <v>5127.3999999999996</v>
      </c>
      <c r="H55" s="124">
        <v>3095.7</v>
      </c>
      <c r="I55" s="124">
        <v>947.5</v>
      </c>
      <c r="J55" s="43">
        <f t="shared" si="31"/>
        <v>4043.2</v>
      </c>
      <c r="K55" s="43">
        <f>113.7+34</f>
        <v>147.69999999999999</v>
      </c>
      <c r="L55" s="43">
        <v>150.69999999999999</v>
      </c>
      <c r="M55" s="43"/>
      <c r="N55" s="43">
        <f t="shared" si="32"/>
        <v>5278.0999999999995</v>
      </c>
      <c r="O55" s="43">
        <f t="shared" si="33"/>
        <v>-27.470800000000054</v>
      </c>
      <c r="P55" s="43">
        <v>1959.8</v>
      </c>
      <c r="Q55" s="124">
        <v>1482.5</v>
      </c>
      <c r="R55" s="124">
        <v>477.3</v>
      </c>
      <c r="S55" s="124"/>
      <c r="T55" s="44">
        <f t="shared" si="34"/>
        <v>1959.8</v>
      </c>
      <c r="U55" s="138"/>
      <c r="V55" s="138"/>
      <c r="W55" s="46">
        <f t="shared" si="35"/>
        <v>0</v>
      </c>
      <c r="X55" s="47">
        <v>6</v>
      </c>
      <c r="Y55" s="48">
        <v>14</v>
      </c>
      <c r="Z55" s="48">
        <v>4</v>
      </c>
      <c r="AA55" s="48">
        <v>0.5</v>
      </c>
      <c r="AB55" s="48"/>
      <c r="AC55" s="49">
        <f t="shared" si="36"/>
        <v>-2</v>
      </c>
      <c r="AD55" s="50">
        <f t="shared" si="6"/>
        <v>4</v>
      </c>
      <c r="AE55" s="51">
        <f t="shared" si="7"/>
        <v>-2</v>
      </c>
    </row>
    <row r="56" spans="1:31" ht="15.75" x14ac:dyDescent="0.25">
      <c r="A56" s="113"/>
      <c r="B56" s="122"/>
      <c r="C56" s="139" t="s">
        <v>73</v>
      </c>
      <c r="D56" s="40">
        <v>1.984</v>
      </c>
      <c r="E56" s="41">
        <v>1856.9</v>
      </c>
      <c r="F56" s="41">
        <f t="shared" si="30"/>
        <v>3684.0896000000002</v>
      </c>
      <c r="G56" s="124">
        <v>3402.8</v>
      </c>
      <c r="H56" s="124">
        <v>2124.3000000000002</v>
      </c>
      <c r="I56" s="124">
        <v>625.70000000000005</v>
      </c>
      <c r="J56" s="43">
        <f t="shared" si="31"/>
        <v>2750</v>
      </c>
      <c r="K56" s="43">
        <f>49.3+14.7</f>
        <v>64</v>
      </c>
      <c r="L56" s="43">
        <v>65.3</v>
      </c>
      <c r="M56" s="43"/>
      <c r="N56" s="43">
        <f t="shared" si="32"/>
        <v>3468.1000000000004</v>
      </c>
      <c r="O56" s="43">
        <f t="shared" si="33"/>
        <v>-215.98959999999988</v>
      </c>
      <c r="P56" s="43">
        <v>1468.5</v>
      </c>
      <c r="Q56" s="124">
        <v>1127.9000000000001</v>
      </c>
      <c r="R56" s="124">
        <v>340.6</v>
      </c>
      <c r="S56" s="124"/>
      <c r="T56" s="44">
        <f t="shared" si="34"/>
        <v>1468.5</v>
      </c>
      <c r="U56" s="138"/>
      <c r="V56" s="138"/>
      <c r="W56" s="46">
        <f t="shared" si="35"/>
        <v>0</v>
      </c>
      <c r="X56" s="140">
        <v>7</v>
      </c>
      <c r="Y56" s="48">
        <v>8.5</v>
      </c>
      <c r="Z56" s="48">
        <v>3</v>
      </c>
      <c r="AA56" s="48">
        <v>0.2</v>
      </c>
      <c r="AB56" s="48"/>
      <c r="AC56" s="49">
        <f t="shared" si="36"/>
        <v>-4</v>
      </c>
      <c r="AD56" s="50">
        <f t="shared" si="6"/>
        <v>3</v>
      </c>
      <c r="AE56" s="51">
        <f t="shared" si="7"/>
        <v>-4</v>
      </c>
    </row>
    <row r="57" spans="1:31" ht="15.75" x14ac:dyDescent="0.25">
      <c r="A57" s="113"/>
      <c r="B57" s="122"/>
      <c r="C57" s="139" t="s">
        <v>74</v>
      </c>
      <c r="D57" s="40">
        <v>1.415</v>
      </c>
      <c r="E57" s="41">
        <v>2389.3000000000002</v>
      </c>
      <c r="F57" s="41">
        <f t="shared" si="30"/>
        <v>3380.8595000000005</v>
      </c>
      <c r="G57" s="96">
        <v>3333.3</v>
      </c>
      <c r="H57" s="96">
        <v>2017.2</v>
      </c>
      <c r="I57" s="96">
        <v>604.4</v>
      </c>
      <c r="J57" s="43">
        <f t="shared" si="31"/>
        <v>2621.6</v>
      </c>
      <c r="K57" s="43">
        <f>34.2+10.2</f>
        <v>44.400000000000006</v>
      </c>
      <c r="L57" s="43">
        <v>45.3</v>
      </c>
      <c r="M57" s="43"/>
      <c r="N57" s="43">
        <f t="shared" si="32"/>
        <v>3378.6000000000004</v>
      </c>
      <c r="O57" s="43">
        <f t="shared" si="33"/>
        <v>-2.2595000000001164</v>
      </c>
      <c r="P57" s="43">
        <v>1585.8</v>
      </c>
      <c r="Q57" s="124">
        <v>1218</v>
      </c>
      <c r="R57" s="124">
        <v>367.8</v>
      </c>
      <c r="S57" s="124"/>
      <c r="T57" s="44">
        <f t="shared" si="34"/>
        <v>1585.8</v>
      </c>
      <c r="U57" s="138"/>
      <c r="V57" s="138"/>
      <c r="W57" s="46">
        <f t="shared" si="35"/>
        <v>0</v>
      </c>
      <c r="X57" s="140">
        <v>7</v>
      </c>
      <c r="Y57" s="48">
        <v>8.5</v>
      </c>
      <c r="Z57" s="48">
        <v>4</v>
      </c>
      <c r="AA57" s="48">
        <v>0.2</v>
      </c>
      <c r="AB57" s="48"/>
      <c r="AC57" s="49">
        <f t="shared" si="36"/>
        <v>-3</v>
      </c>
      <c r="AD57" s="50">
        <f t="shared" si="6"/>
        <v>4</v>
      </c>
      <c r="AE57" s="51">
        <f t="shared" si="7"/>
        <v>-3</v>
      </c>
    </row>
    <row r="58" spans="1:31" ht="15.75" x14ac:dyDescent="0.25">
      <c r="A58" s="113">
        <v>0</v>
      </c>
      <c r="B58" s="122"/>
      <c r="C58" s="139" t="s">
        <v>75</v>
      </c>
      <c r="D58" s="40">
        <v>3.6429999999999998</v>
      </c>
      <c r="E58" s="41">
        <v>1248.7</v>
      </c>
      <c r="F58" s="41">
        <f t="shared" si="30"/>
        <v>4549.0141000000003</v>
      </c>
      <c r="G58" s="124">
        <v>4370.3999999999996</v>
      </c>
      <c r="H58" s="124">
        <v>2466.4</v>
      </c>
      <c r="I58" s="124">
        <v>736.5</v>
      </c>
      <c r="J58" s="43">
        <f t="shared" si="31"/>
        <v>3202.9</v>
      </c>
      <c r="K58" s="43">
        <f>85.5+25.6</f>
        <v>111.1</v>
      </c>
      <c r="L58" s="43">
        <v>113.4</v>
      </c>
      <c r="M58" s="43"/>
      <c r="N58" s="43">
        <f t="shared" si="32"/>
        <v>4483.7999999999993</v>
      </c>
      <c r="O58" s="43">
        <f t="shared" si="33"/>
        <v>-65.214100000001054</v>
      </c>
      <c r="P58" s="43">
        <v>2418.3000000000002</v>
      </c>
      <c r="Q58" s="124">
        <v>1862.9</v>
      </c>
      <c r="R58" s="124">
        <v>555.4</v>
      </c>
      <c r="S58" s="124"/>
      <c r="T58" s="44">
        <f t="shared" si="34"/>
        <v>2418.3000000000002</v>
      </c>
      <c r="U58" s="138"/>
      <c r="V58" s="138"/>
      <c r="W58" s="46">
        <f t="shared" si="35"/>
        <v>0</v>
      </c>
      <c r="X58" s="140">
        <v>7</v>
      </c>
      <c r="Y58" s="48">
        <v>9</v>
      </c>
      <c r="Z58" s="48">
        <v>6</v>
      </c>
      <c r="AA58" s="48">
        <v>0.4</v>
      </c>
      <c r="AB58" s="48"/>
      <c r="AC58" s="49">
        <f t="shared" si="36"/>
        <v>-1</v>
      </c>
      <c r="AD58" s="50">
        <f t="shared" si="6"/>
        <v>6</v>
      </c>
      <c r="AE58" s="51">
        <f t="shared" si="7"/>
        <v>-1</v>
      </c>
    </row>
    <row r="59" spans="1:31" ht="16.5" thickBot="1" x14ac:dyDescent="0.3">
      <c r="A59" s="113"/>
      <c r="B59" s="126"/>
      <c r="C59" s="127" t="s">
        <v>65</v>
      </c>
      <c r="D59" s="135">
        <f t="shared" ref="D59" si="37">SUM(D53:D58)</f>
        <v>17.818999999999999</v>
      </c>
      <c r="E59" s="58"/>
      <c r="F59" s="58"/>
      <c r="G59" s="136">
        <f t="shared" ref="G59:I59" si="38">SUM(G53:G58)</f>
        <v>23038.299999999996</v>
      </c>
      <c r="H59" s="136">
        <f t="shared" si="38"/>
        <v>13980.6</v>
      </c>
      <c r="I59" s="136">
        <f t="shared" si="38"/>
        <v>4171.7000000000007</v>
      </c>
      <c r="J59" s="136">
        <f>SUM(J53:J58)</f>
        <v>18152.3</v>
      </c>
      <c r="K59" s="136">
        <f t="shared" ref="K59:W59" si="39">SUM(K53:K58)</f>
        <v>550.20000000000005</v>
      </c>
      <c r="L59" s="136">
        <f t="shared" si="39"/>
        <v>561.30000000000007</v>
      </c>
      <c r="M59" s="136"/>
      <c r="N59" s="129">
        <f t="shared" si="39"/>
        <v>23599.599999999999</v>
      </c>
      <c r="O59" s="60"/>
      <c r="P59" s="136">
        <f t="shared" ref="P59:R59" si="40">SUM(P53:P58)</f>
        <v>11281</v>
      </c>
      <c r="Q59" s="136">
        <f t="shared" si="40"/>
        <v>8653</v>
      </c>
      <c r="R59" s="136">
        <f t="shared" si="40"/>
        <v>2628.0000000000005</v>
      </c>
      <c r="S59" s="136">
        <f>SUM(S53:S58)</f>
        <v>0</v>
      </c>
      <c r="T59" s="136">
        <f t="shared" ref="T59" si="41">SUM(T53:T58)</f>
        <v>11281</v>
      </c>
      <c r="U59" s="136">
        <f t="shared" si="39"/>
        <v>0</v>
      </c>
      <c r="V59" s="136">
        <f t="shared" si="39"/>
        <v>0</v>
      </c>
      <c r="W59" s="130">
        <f t="shared" si="39"/>
        <v>0</v>
      </c>
      <c r="X59" s="131"/>
      <c r="Y59" s="136">
        <f t="shared" ref="Y59:AB59" si="42">SUM(Y53:Y58)</f>
        <v>56</v>
      </c>
      <c r="Z59" s="136">
        <f t="shared" si="42"/>
        <v>26</v>
      </c>
      <c r="AA59" s="136">
        <f t="shared" si="42"/>
        <v>2</v>
      </c>
      <c r="AB59" s="136">
        <f t="shared" si="42"/>
        <v>0</v>
      </c>
      <c r="AC59" s="65"/>
      <c r="AD59" s="67">
        <f>Z59+AB59</f>
        <v>26</v>
      </c>
      <c r="AE59" s="68"/>
    </row>
    <row r="60" spans="1:31" ht="15.75" x14ac:dyDescent="0.25">
      <c r="A60" s="113"/>
      <c r="B60" s="118" t="s">
        <v>76</v>
      </c>
      <c r="C60" s="141" t="s">
        <v>77</v>
      </c>
      <c r="D60" s="83">
        <v>6.37</v>
      </c>
      <c r="E60" s="84">
        <v>40</v>
      </c>
      <c r="F60" s="84">
        <f t="shared" ref="F60:F65" si="43">E60*D60</f>
        <v>254.8</v>
      </c>
      <c r="G60" s="120">
        <v>254</v>
      </c>
      <c r="H60" s="120">
        <v>176.4</v>
      </c>
      <c r="I60" s="120">
        <v>52.1</v>
      </c>
      <c r="J60" s="86">
        <f t="shared" ref="J60:J65" si="44">H60+I60</f>
        <v>228.5</v>
      </c>
      <c r="K60" s="86"/>
      <c r="L60" s="86">
        <v>0</v>
      </c>
      <c r="M60" s="86"/>
      <c r="N60" s="86">
        <f>G60+L60</f>
        <v>254</v>
      </c>
      <c r="O60" s="86">
        <f t="shared" ref="O60:O65" si="45">N60-F60</f>
        <v>-0.80000000000001137</v>
      </c>
      <c r="P60" s="86"/>
      <c r="Q60" s="120"/>
      <c r="R60" s="120"/>
      <c r="S60" s="120"/>
      <c r="T60" s="142"/>
      <c r="U60" s="121"/>
      <c r="V60" s="121"/>
      <c r="W60" s="89">
        <f>U60+V60</f>
        <v>0</v>
      </c>
      <c r="X60" s="90">
        <v>0</v>
      </c>
      <c r="Y60" s="32">
        <v>1</v>
      </c>
      <c r="Z60" s="32"/>
      <c r="AA60" s="32"/>
      <c r="AB60" s="32"/>
      <c r="AC60" s="91">
        <f t="shared" ref="AC60:AC65" si="46">(Z60+AB60)-X60</f>
        <v>0</v>
      </c>
      <c r="AD60" s="35">
        <f t="shared" si="6"/>
        <v>0</v>
      </c>
      <c r="AE60" s="92">
        <f t="shared" si="7"/>
        <v>0</v>
      </c>
    </row>
    <row r="61" spans="1:31" ht="15.75" x14ac:dyDescent="0.25">
      <c r="A61" s="113"/>
      <c r="B61" s="122"/>
      <c r="C61" s="100" t="s">
        <v>78</v>
      </c>
      <c r="D61" s="40">
        <v>4.1440000000000001</v>
      </c>
      <c r="E61" s="41">
        <v>1152.9000000000001</v>
      </c>
      <c r="F61" s="41">
        <f t="shared" si="43"/>
        <v>4777.6176000000005</v>
      </c>
      <c r="G61" s="124">
        <v>4645.2</v>
      </c>
      <c r="H61" s="124">
        <v>2832.8</v>
      </c>
      <c r="I61" s="124">
        <v>846.8</v>
      </c>
      <c r="J61" s="43">
        <f t="shared" si="44"/>
        <v>3679.6000000000004</v>
      </c>
      <c r="K61" s="43"/>
      <c r="L61" s="43">
        <v>0</v>
      </c>
      <c r="M61" s="43"/>
      <c r="N61" s="43">
        <f>G61+L61</f>
        <v>4645.2</v>
      </c>
      <c r="O61" s="43">
        <f t="shared" si="45"/>
        <v>-132.41760000000068</v>
      </c>
      <c r="P61" s="43">
        <v>2566</v>
      </c>
      <c r="Q61" s="124">
        <v>1976.4</v>
      </c>
      <c r="R61" s="124">
        <v>589.6</v>
      </c>
      <c r="S61" s="124"/>
      <c r="T61" s="44">
        <f t="shared" ref="T61:T65" si="47">P61+S61</f>
        <v>2566</v>
      </c>
      <c r="U61" s="138"/>
      <c r="V61" s="138"/>
      <c r="W61" s="46">
        <f>U61+V61</f>
        <v>0</v>
      </c>
      <c r="X61" s="47">
        <v>7</v>
      </c>
      <c r="Y61" s="48">
        <v>9.5</v>
      </c>
      <c r="Z61" s="48">
        <v>5</v>
      </c>
      <c r="AA61" s="48"/>
      <c r="AB61" s="48"/>
      <c r="AC61" s="49">
        <f t="shared" si="46"/>
        <v>-2</v>
      </c>
      <c r="AD61" s="50">
        <f t="shared" si="6"/>
        <v>5</v>
      </c>
      <c r="AE61" s="51">
        <f t="shared" si="7"/>
        <v>-2</v>
      </c>
    </row>
    <row r="62" spans="1:31" ht="15.75" hidden="1" x14ac:dyDescent="0.25">
      <c r="A62" s="113"/>
      <c r="B62" s="122"/>
      <c r="C62" s="100" t="s">
        <v>79</v>
      </c>
      <c r="D62" s="40"/>
      <c r="E62" s="41"/>
      <c r="F62" s="41">
        <f t="shared" si="43"/>
        <v>0</v>
      </c>
      <c r="G62" s="96"/>
      <c r="H62" s="96"/>
      <c r="I62" s="96"/>
      <c r="J62" s="43"/>
      <c r="K62" s="43"/>
      <c r="L62" s="43"/>
      <c r="M62" s="43"/>
      <c r="N62" s="43"/>
      <c r="O62" s="43">
        <f t="shared" si="45"/>
        <v>0</v>
      </c>
      <c r="P62" s="43"/>
      <c r="Q62" s="96"/>
      <c r="R62" s="96"/>
      <c r="S62" s="96"/>
      <c r="T62" s="44">
        <f t="shared" si="47"/>
        <v>0</v>
      </c>
      <c r="U62" s="125"/>
      <c r="V62" s="125"/>
      <c r="W62" s="46"/>
      <c r="X62" s="47"/>
      <c r="Y62" s="48"/>
      <c r="Z62" s="48"/>
      <c r="AA62" s="48"/>
      <c r="AB62" s="48"/>
      <c r="AC62" s="49">
        <f t="shared" si="46"/>
        <v>0</v>
      </c>
      <c r="AD62" s="50">
        <f t="shared" si="6"/>
        <v>0</v>
      </c>
      <c r="AE62" s="51">
        <f t="shared" si="7"/>
        <v>0</v>
      </c>
    </row>
    <row r="63" spans="1:31" ht="15.75" x14ac:dyDescent="0.25">
      <c r="A63" s="113"/>
      <c r="B63" s="122"/>
      <c r="C63" s="143" t="s">
        <v>80</v>
      </c>
      <c r="D63" s="40">
        <v>1.4219999999999999</v>
      </c>
      <c r="E63" s="41">
        <v>1970.9</v>
      </c>
      <c r="F63" s="41">
        <f t="shared" si="43"/>
        <v>2802.6197999999999</v>
      </c>
      <c r="G63" s="96">
        <v>2517.8000000000002</v>
      </c>
      <c r="H63" s="96">
        <v>1486.4</v>
      </c>
      <c r="I63" s="134">
        <v>457.3</v>
      </c>
      <c r="J63" s="43">
        <f t="shared" si="44"/>
        <v>1943.7</v>
      </c>
      <c r="K63" s="43"/>
      <c r="L63" s="43">
        <v>0</v>
      </c>
      <c r="M63" s="43"/>
      <c r="N63" s="43">
        <f>G63+L63</f>
        <v>2517.8000000000002</v>
      </c>
      <c r="O63" s="43">
        <f t="shared" si="45"/>
        <v>-284.81979999999976</v>
      </c>
      <c r="P63" s="43">
        <v>1164.8</v>
      </c>
      <c r="Q63" s="96">
        <v>897.4</v>
      </c>
      <c r="R63" s="96">
        <v>267.39999999999998</v>
      </c>
      <c r="S63" s="96"/>
      <c r="T63" s="44">
        <f t="shared" si="47"/>
        <v>1164.8</v>
      </c>
      <c r="U63" s="125"/>
      <c r="V63" s="125"/>
      <c r="W63" s="46">
        <f>U63+V63</f>
        <v>0</v>
      </c>
      <c r="X63" s="47">
        <v>5</v>
      </c>
      <c r="Y63" s="48">
        <v>12.5</v>
      </c>
      <c r="Z63" s="48">
        <v>5</v>
      </c>
      <c r="AA63" s="48"/>
      <c r="AB63" s="48"/>
      <c r="AC63" s="49">
        <f t="shared" si="46"/>
        <v>0</v>
      </c>
      <c r="AD63" s="50">
        <f t="shared" si="6"/>
        <v>5</v>
      </c>
      <c r="AE63" s="51">
        <f t="shared" si="7"/>
        <v>0</v>
      </c>
    </row>
    <row r="64" spans="1:31" ht="15.75" x14ac:dyDescent="0.25">
      <c r="A64" s="113"/>
      <c r="B64" s="122"/>
      <c r="C64" s="100" t="s">
        <v>81</v>
      </c>
      <c r="D64" s="40">
        <v>1.5720000000000001</v>
      </c>
      <c r="E64" s="41">
        <v>1532.2</v>
      </c>
      <c r="F64" s="41">
        <f t="shared" si="43"/>
        <v>2408.6184000000003</v>
      </c>
      <c r="G64" s="96">
        <v>2408.6</v>
      </c>
      <c r="H64" s="96">
        <v>1723.6</v>
      </c>
      <c r="I64" s="96">
        <v>514.6</v>
      </c>
      <c r="J64" s="43">
        <f t="shared" si="44"/>
        <v>2238.1999999999998</v>
      </c>
      <c r="K64" s="43"/>
      <c r="L64" s="43">
        <v>0</v>
      </c>
      <c r="M64" s="43"/>
      <c r="N64" s="43">
        <f>G64+L64</f>
        <v>2408.6</v>
      </c>
      <c r="O64" s="43">
        <f t="shared" si="45"/>
        <v>-1.8400000000383443E-2</v>
      </c>
      <c r="P64" s="43">
        <v>1353.6</v>
      </c>
      <c r="Q64" s="96">
        <v>1040.4000000000001</v>
      </c>
      <c r="R64" s="96">
        <v>313.2</v>
      </c>
      <c r="S64" s="96"/>
      <c r="T64" s="44">
        <f t="shared" si="47"/>
        <v>1353.6</v>
      </c>
      <c r="U64" s="125"/>
      <c r="V64" s="125"/>
      <c r="W64" s="46">
        <f>U64+V64</f>
        <v>0</v>
      </c>
      <c r="X64" s="47">
        <v>4</v>
      </c>
      <c r="Y64" s="48">
        <v>8.65</v>
      </c>
      <c r="Z64" s="48">
        <v>4</v>
      </c>
      <c r="AA64" s="48"/>
      <c r="AB64" s="48"/>
      <c r="AC64" s="49">
        <f t="shared" si="46"/>
        <v>0</v>
      </c>
      <c r="AD64" s="50">
        <f t="shared" si="6"/>
        <v>4</v>
      </c>
      <c r="AE64" s="51">
        <f t="shared" si="7"/>
        <v>0</v>
      </c>
    </row>
    <row r="65" spans="1:31" ht="15.75" x14ac:dyDescent="0.25">
      <c r="A65" s="113"/>
      <c r="B65" s="122"/>
      <c r="C65" s="100" t="s">
        <v>82</v>
      </c>
      <c r="D65" s="40">
        <v>2.5619999999999998</v>
      </c>
      <c r="E65" s="41">
        <v>1148.3</v>
      </c>
      <c r="F65" s="41">
        <f t="shared" si="43"/>
        <v>2941.9445999999998</v>
      </c>
      <c r="G65" s="96">
        <v>2749</v>
      </c>
      <c r="H65" s="96">
        <v>1710.1</v>
      </c>
      <c r="I65" s="96">
        <v>524.6</v>
      </c>
      <c r="J65" s="43">
        <f t="shared" si="44"/>
        <v>2234.6999999999998</v>
      </c>
      <c r="K65" s="43"/>
      <c r="L65" s="43">
        <v>0</v>
      </c>
      <c r="M65" s="43"/>
      <c r="N65" s="43">
        <f>G65+L65</f>
        <v>2749</v>
      </c>
      <c r="O65" s="43">
        <f t="shared" si="45"/>
        <v>-192.94459999999981</v>
      </c>
      <c r="P65" s="43">
        <v>1527.1</v>
      </c>
      <c r="Q65" s="96">
        <v>1166.9000000000001</v>
      </c>
      <c r="R65" s="96">
        <v>360.2</v>
      </c>
      <c r="S65" s="96"/>
      <c r="T65" s="44">
        <f t="shared" si="47"/>
        <v>1527.1</v>
      </c>
      <c r="U65" s="125"/>
      <c r="V65" s="125"/>
      <c r="W65" s="46">
        <f>U65+V65</f>
        <v>0</v>
      </c>
      <c r="X65" s="47">
        <v>5</v>
      </c>
      <c r="Y65" s="48">
        <v>9</v>
      </c>
      <c r="Z65" s="48">
        <v>5</v>
      </c>
      <c r="AA65" s="48"/>
      <c r="AB65" s="48"/>
      <c r="AC65" s="49">
        <f t="shared" si="46"/>
        <v>0</v>
      </c>
      <c r="AD65" s="50">
        <f t="shared" si="6"/>
        <v>5</v>
      </c>
      <c r="AE65" s="51">
        <f t="shared" si="7"/>
        <v>0</v>
      </c>
    </row>
    <row r="66" spans="1:31" ht="21" customHeight="1" thickBot="1" x14ac:dyDescent="0.3">
      <c r="A66" s="113"/>
      <c r="B66" s="126"/>
      <c r="C66" s="127" t="s">
        <v>65</v>
      </c>
      <c r="D66" s="144">
        <f t="shared" ref="D66" si="48">SUM(D60:D65)</f>
        <v>16.07</v>
      </c>
      <c r="E66" s="58"/>
      <c r="F66" s="58"/>
      <c r="G66" s="145">
        <f t="shared" ref="G66:I66" si="49">ROUND(SUM(G60:G65),3)</f>
        <v>12574.6</v>
      </c>
      <c r="H66" s="145">
        <f t="shared" si="49"/>
        <v>7929.3</v>
      </c>
      <c r="I66" s="145">
        <f t="shared" si="49"/>
        <v>2395.4</v>
      </c>
      <c r="J66" s="145">
        <f>ROUND(SUM(J60:J65),3)</f>
        <v>10324.700000000001</v>
      </c>
      <c r="K66" s="145"/>
      <c r="L66" s="145">
        <f t="shared" ref="L66:W66" si="50">ROUND(SUM(L60:L65),3)</f>
        <v>0</v>
      </c>
      <c r="M66" s="145"/>
      <c r="N66" s="145">
        <f t="shared" si="50"/>
        <v>12574.6</v>
      </c>
      <c r="O66" s="60"/>
      <c r="P66" s="145">
        <f>ROUND(SUM(P60:P65),3)</f>
        <v>6611.5</v>
      </c>
      <c r="Q66" s="145">
        <f t="shared" ref="Q66:T66" si="51">ROUND(SUM(Q60:Q65),3)</f>
        <v>5081.1000000000004</v>
      </c>
      <c r="R66" s="145">
        <f t="shared" si="51"/>
        <v>1530.4</v>
      </c>
      <c r="S66" s="145">
        <f t="shared" si="51"/>
        <v>0</v>
      </c>
      <c r="T66" s="145">
        <f t="shared" si="51"/>
        <v>6611.5</v>
      </c>
      <c r="U66" s="145">
        <f t="shared" si="50"/>
        <v>0</v>
      </c>
      <c r="V66" s="145">
        <f t="shared" si="50"/>
        <v>0</v>
      </c>
      <c r="W66" s="146">
        <f t="shared" si="50"/>
        <v>0</v>
      </c>
      <c r="X66" s="147"/>
      <c r="Y66" s="145">
        <f>ROUND(SUM(Y60:Y65),3)</f>
        <v>40.65</v>
      </c>
      <c r="Z66" s="145">
        <f t="shared" ref="Z66:AB66" si="52">ROUND(SUM(Z60:Z65),3)</f>
        <v>19</v>
      </c>
      <c r="AA66" s="145">
        <f t="shared" si="52"/>
        <v>0</v>
      </c>
      <c r="AB66" s="145">
        <f t="shared" si="52"/>
        <v>0</v>
      </c>
      <c r="AC66" s="65"/>
      <c r="AD66" s="67">
        <f t="shared" si="6"/>
        <v>19</v>
      </c>
      <c r="AE66" s="68"/>
    </row>
    <row r="67" spans="1:31" ht="14.25" customHeight="1" x14ac:dyDescent="0.25">
      <c r="A67" s="113"/>
      <c r="B67" s="118" t="s">
        <v>42</v>
      </c>
      <c r="C67" s="119" t="s">
        <v>83</v>
      </c>
      <c r="D67" s="83">
        <v>10.384</v>
      </c>
      <c r="E67" s="84">
        <v>982.5</v>
      </c>
      <c r="F67" s="84">
        <f t="shared" ref="F67:F71" si="53">E67*D67</f>
        <v>10202.280000000001</v>
      </c>
      <c r="G67" s="120">
        <v>10198.6</v>
      </c>
      <c r="H67" s="120">
        <v>6229.5</v>
      </c>
      <c r="I67" s="120">
        <v>1851.6</v>
      </c>
      <c r="J67" s="86">
        <f>H67+I67</f>
        <v>8081.1</v>
      </c>
      <c r="K67" s="86"/>
      <c r="L67" s="86"/>
      <c r="M67" s="86"/>
      <c r="N67" s="86">
        <f>G67+L67</f>
        <v>10198.6</v>
      </c>
      <c r="O67" s="86">
        <f>N67-F67</f>
        <v>-3.680000000000291</v>
      </c>
      <c r="P67" s="86">
        <v>6681.3</v>
      </c>
      <c r="Q67" s="120">
        <v>5135.3</v>
      </c>
      <c r="R67" s="120">
        <v>1546</v>
      </c>
      <c r="S67" s="120"/>
      <c r="T67" s="87">
        <f t="shared" ref="T67:T71" si="54">P67+S67</f>
        <v>6681.3</v>
      </c>
      <c r="U67" s="121"/>
      <c r="V67" s="121"/>
      <c r="W67" s="89">
        <f>U67+V67</f>
        <v>0</v>
      </c>
      <c r="X67" s="90">
        <v>14</v>
      </c>
      <c r="Y67" s="32">
        <v>19</v>
      </c>
      <c r="Z67" s="32">
        <v>14</v>
      </c>
      <c r="AA67" s="32"/>
      <c r="AB67" s="32"/>
      <c r="AC67" s="91">
        <f t="shared" ref="AC67:AC71" si="55">(Z67+AB67)-X67</f>
        <v>0</v>
      </c>
      <c r="AD67" s="35">
        <f t="shared" si="6"/>
        <v>14</v>
      </c>
      <c r="AE67" s="92">
        <f t="shared" si="7"/>
        <v>0</v>
      </c>
    </row>
    <row r="68" spans="1:31" ht="14.25" customHeight="1" x14ac:dyDescent="0.25">
      <c r="A68" s="113"/>
      <c r="B68" s="122"/>
      <c r="C68" s="148" t="s">
        <v>84</v>
      </c>
      <c r="D68" s="40">
        <v>1.712</v>
      </c>
      <c r="E68" s="41">
        <v>2945.6</v>
      </c>
      <c r="F68" s="41">
        <f t="shared" si="53"/>
        <v>5042.8671999999997</v>
      </c>
      <c r="G68" s="96">
        <v>4949.5</v>
      </c>
      <c r="H68" s="96">
        <v>2917</v>
      </c>
      <c r="I68" s="96">
        <v>1114.5999999999999</v>
      </c>
      <c r="J68" s="43">
        <f>H68+I68</f>
        <v>4031.6</v>
      </c>
      <c r="K68" s="43"/>
      <c r="L68" s="43">
        <v>93.4</v>
      </c>
      <c r="M68" s="43"/>
      <c r="N68" s="43">
        <f>G68+L68</f>
        <v>5042.8999999999996</v>
      </c>
      <c r="O68" s="43">
        <f>N68-F68</f>
        <v>3.2799999999951979E-2</v>
      </c>
      <c r="P68" s="43">
        <v>3299.9</v>
      </c>
      <c r="Q68" s="96">
        <v>2355</v>
      </c>
      <c r="R68" s="96">
        <v>944.9</v>
      </c>
      <c r="S68" s="96"/>
      <c r="T68" s="44">
        <f t="shared" si="54"/>
        <v>3299.9</v>
      </c>
      <c r="U68" s="125"/>
      <c r="V68" s="125"/>
      <c r="W68" s="46">
        <f>U68+V68</f>
        <v>0</v>
      </c>
      <c r="X68" s="140">
        <v>9</v>
      </c>
      <c r="Y68" s="48">
        <v>14</v>
      </c>
      <c r="Z68" s="48">
        <v>9</v>
      </c>
      <c r="AA68" s="48"/>
      <c r="AB68" s="48"/>
      <c r="AC68" s="49">
        <f t="shared" si="55"/>
        <v>0</v>
      </c>
      <c r="AD68" s="50">
        <f t="shared" si="6"/>
        <v>9</v>
      </c>
      <c r="AE68" s="51">
        <f t="shared" si="7"/>
        <v>0</v>
      </c>
    </row>
    <row r="69" spans="1:31" ht="14.25" customHeight="1" x14ac:dyDescent="0.25">
      <c r="A69" s="113"/>
      <c r="B69" s="122"/>
      <c r="C69" s="148" t="s">
        <v>85</v>
      </c>
      <c r="D69" s="40">
        <v>0.66200000000000003</v>
      </c>
      <c r="E69" s="41">
        <v>3186.3</v>
      </c>
      <c r="F69" s="41">
        <f t="shared" si="53"/>
        <v>2109.3306000000002</v>
      </c>
      <c r="G69" s="96">
        <v>2109.3000000000002</v>
      </c>
      <c r="H69" s="96">
        <v>1443</v>
      </c>
      <c r="I69" s="96">
        <v>430.1</v>
      </c>
      <c r="J69" s="43">
        <f>H69+I69</f>
        <v>1873.1</v>
      </c>
      <c r="K69" s="43"/>
      <c r="L69" s="43"/>
      <c r="M69" s="43"/>
      <c r="N69" s="43">
        <f>G69+L69</f>
        <v>2109.3000000000002</v>
      </c>
      <c r="O69" s="43">
        <f>N69-F69</f>
        <v>-3.0600000000049477E-2</v>
      </c>
      <c r="P69" s="43">
        <v>1252.9000000000001</v>
      </c>
      <c r="Q69" s="96">
        <v>964.7</v>
      </c>
      <c r="R69" s="96">
        <v>288.2</v>
      </c>
      <c r="S69" s="96"/>
      <c r="T69" s="44">
        <f t="shared" si="54"/>
        <v>1252.9000000000001</v>
      </c>
      <c r="U69" s="125"/>
      <c r="V69" s="125"/>
      <c r="W69" s="46">
        <f>U69+V69</f>
        <v>0</v>
      </c>
      <c r="X69" s="140">
        <v>5</v>
      </c>
      <c r="Y69" s="48">
        <v>7.7</v>
      </c>
      <c r="Z69" s="48">
        <v>4</v>
      </c>
      <c r="AA69" s="48"/>
      <c r="AB69" s="48"/>
      <c r="AC69" s="49">
        <f t="shared" si="55"/>
        <v>-1</v>
      </c>
      <c r="AD69" s="50">
        <f t="shared" si="6"/>
        <v>4</v>
      </c>
      <c r="AE69" s="51">
        <f t="shared" si="7"/>
        <v>-1</v>
      </c>
    </row>
    <row r="70" spans="1:31" ht="14.25" customHeight="1" x14ac:dyDescent="0.25">
      <c r="A70" s="113"/>
      <c r="B70" s="122"/>
      <c r="C70" s="148" t="s">
        <v>86</v>
      </c>
      <c r="D70" s="40">
        <v>1.8680000000000001</v>
      </c>
      <c r="E70" s="41">
        <v>1963.8</v>
      </c>
      <c r="F70" s="41">
        <f t="shared" si="53"/>
        <v>3668.3784000000001</v>
      </c>
      <c r="G70" s="96">
        <v>3668.3</v>
      </c>
      <c r="H70" s="96">
        <v>2079.6999999999998</v>
      </c>
      <c r="I70" s="96">
        <v>628.1</v>
      </c>
      <c r="J70" s="43">
        <f>H70+I70</f>
        <v>2707.7999999999997</v>
      </c>
      <c r="K70" s="43"/>
      <c r="L70" s="43"/>
      <c r="M70" s="43"/>
      <c r="N70" s="43">
        <f>G70+L70</f>
        <v>3668.3</v>
      </c>
      <c r="O70" s="43">
        <f>N70-F70</f>
        <v>-7.8399999999874126E-2</v>
      </c>
      <c r="P70" s="43">
        <v>2442.6</v>
      </c>
      <c r="Q70" s="96">
        <v>1876</v>
      </c>
      <c r="R70" s="96">
        <v>566.6</v>
      </c>
      <c r="S70" s="96"/>
      <c r="T70" s="44">
        <f t="shared" si="54"/>
        <v>2442.6</v>
      </c>
      <c r="U70" s="125"/>
      <c r="V70" s="125"/>
      <c r="W70" s="46">
        <f>U70+V70</f>
        <v>0</v>
      </c>
      <c r="X70" s="140">
        <v>5</v>
      </c>
      <c r="Y70" s="48">
        <v>6</v>
      </c>
      <c r="Z70" s="48">
        <v>5</v>
      </c>
      <c r="AA70" s="48"/>
      <c r="AB70" s="48"/>
      <c r="AC70" s="49">
        <f t="shared" si="55"/>
        <v>0</v>
      </c>
      <c r="AD70" s="50">
        <f t="shared" si="6"/>
        <v>5</v>
      </c>
      <c r="AE70" s="51">
        <f t="shared" si="7"/>
        <v>0</v>
      </c>
    </row>
    <row r="71" spans="1:31" ht="14.25" customHeight="1" x14ac:dyDescent="0.25">
      <c r="A71" s="113"/>
      <c r="B71" s="122"/>
      <c r="C71" s="148" t="s">
        <v>87</v>
      </c>
      <c r="D71" s="40">
        <v>0.85599999999999998</v>
      </c>
      <c r="E71" s="41">
        <v>3309.6</v>
      </c>
      <c r="F71" s="41">
        <f t="shared" si="53"/>
        <v>2833.0175999999997</v>
      </c>
      <c r="G71" s="96">
        <v>2762.9</v>
      </c>
      <c r="H71" s="96">
        <v>1753.3</v>
      </c>
      <c r="I71" s="96">
        <v>585.29999999999995</v>
      </c>
      <c r="J71" s="43">
        <f>H71+I71</f>
        <v>2338.6</v>
      </c>
      <c r="K71" s="43"/>
      <c r="L71" s="43">
        <v>70</v>
      </c>
      <c r="M71" s="43"/>
      <c r="N71" s="43">
        <f>G71+L71</f>
        <v>2832.9</v>
      </c>
      <c r="O71" s="43">
        <f>N71-F71</f>
        <v>-0.11759999999958382</v>
      </c>
      <c r="P71" s="43">
        <v>1833.4</v>
      </c>
      <c r="Q71" s="96">
        <v>1409.1</v>
      </c>
      <c r="R71" s="96">
        <v>424.3</v>
      </c>
      <c r="S71" s="96"/>
      <c r="T71" s="44">
        <f t="shared" si="54"/>
        <v>1833.4</v>
      </c>
      <c r="U71" s="125"/>
      <c r="V71" s="125"/>
      <c r="W71" s="46">
        <f>U71+V71</f>
        <v>0</v>
      </c>
      <c r="X71" s="140">
        <v>5</v>
      </c>
      <c r="Y71" s="48">
        <v>7.5</v>
      </c>
      <c r="Z71" s="48">
        <v>5</v>
      </c>
      <c r="AA71" s="48"/>
      <c r="AB71" s="48"/>
      <c r="AC71" s="49">
        <f t="shared" si="55"/>
        <v>0</v>
      </c>
      <c r="AD71" s="50">
        <f t="shared" si="6"/>
        <v>5</v>
      </c>
      <c r="AE71" s="51">
        <f t="shared" si="7"/>
        <v>0</v>
      </c>
    </row>
    <row r="72" spans="1:31" ht="16.5" thickBot="1" x14ac:dyDescent="0.3">
      <c r="A72" s="113"/>
      <c r="B72" s="126"/>
      <c r="C72" s="127" t="s">
        <v>65</v>
      </c>
      <c r="D72" s="128">
        <f t="shared" ref="D72" si="56">D67+D68+D69+D70+D71</f>
        <v>15.482000000000001</v>
      </c>
      <c r="E72" s="58"/>
      <c r="F72" s="58"/>
      <c r="G72" s="129">
        <f t="shared" ref="G72:I72" si="57">ROUND(SUM(G67:G71),3)</f>
        <v>23688.6</v>
      </c>
      <c r="H72" s="129">
        <f t="shared" si="57"/>
        <v>14422.5</v>
      </c>
      <c r="I72" s="129">
        <f t="shared" si="57"/>
        <v>4609.7</v>
      </c>
      <c r="J72" s="129">
        <f t="shared" ref="J72:AB72" si="58">ROUND(SUM(J67:J71),3)</f>
        <v>19032.2</v>
      </c>
      <c r="K72" s="129"/>
      <c r="L72" s="129">
        <f t="shared" si="58"/>
        <v>163.4</v>
      </c>
      <c r="M72" s="129"/>
      <c r="N72" s="129">
        <f t="shared" si="58"/>
        <v>23852</v>
      </c>
      <c r="O72" s="60"/>
      <c r="P72" s="129">
        <f t="shared" ref="P72:T72" si="59">ROUND(SUM(P67:P71),3)</f>
        <v>15510.1</v>
      </c>
      <c r="Q72" s="129">
        <f t="shared" si="59"/>
        <v>11740.1</v>
      </c>
      <c r="R72" s="129">
        <f t="shared" si="59"/>
        <v>3770</v>
      </c>
      <c r="S72" s="129">
        <f t="shared" si="59"/>
        <v>0</v>
      </c>
      <c r="T72" s="129">
        <f t="shared" si="59"/>
        <v>15510.1</v>
      </c>
      <c r="U72" s="129">
        <f t="shared" si="58"/>
        <v>0</v>
      </c>
      <c r="V72" s="129">
        <f t="shared" si="58"/>
        <v>0</v>
      </c>
      <c r="W72" s="130">
        <f t="shared" si="58"/>
        <v>0</v>
      </c>
      <c r="X72" s="129">
        <f t="shared" si="58"/>
        <v>38</v>
      </c>
      <c r="Y72" s="129">
        <f t="shared" si="58"/>
        <v>54.2</v>
      </c>
      <c r="Z72" s="129">
        <f t="shared" si="58"/>
        <v>37</v>
      </c>
      <c r="AA72" s="129">
        <f t="shared" si="58"/>
        <v>0</v>
      </c>
      <c r="AB72" s="129">
        <f t="shared" si="58"/>
        <v>0</v>
      </c>
      <c r="AC72" s="65"/>
      <c r="AD72" s="67">
        <f t="shared" si="6"/>
        <v>37</v>
      </c>
      <c r="AE72" s="68"/>
    </row>
    <row r="73" spans="1:31" ht="15.75" x14ac:dyDescent="0.25">
      <c r="A73" s="113"/>
      <c r="B73" s="118" t="s">
        <v>43</v>
      </c>
      <c r="C73" s="119" t="s">
        <v>88</v>
      </c>
      <c r="D73" s="83">
        <v>1.5089999999999999</v>
      </c>
      <c r="E73" s="84">
        <v>2251.3000000000002</v>
      </c>
      <c r="F73" s="84">
        <f t="shared" ref="F73:F80" si="60">E73*D73</f>
        <v>3397.2116999999998</v>
      </c>
      <c r="G73" s="133">
        <v>2981.9</v>
      </c>
      <c r="H73" s="133">
        <v>1877.5</v>
      </c>
      <c r="I73" s="133">
        <v>566.79999999999995</v>
      </c>
      <c r="J73" s="86">
        <f t="shared" ref="J73:J80" si="61">H73+I73</f>
        <v>2444.3000000000002</v>
      </c>
      <c r="K73" s="86">
        <f>175.1-27.9-8.4+52.9</f>
        <v>191.7</v>
      </c>
      <c r="L73" s="86">
        <f>262.1-41.8</f>
        <v>220.3</v>
      </c>
      <c r="M73" s="86"/>
      <c r="N73" s="86">
        <f t="shared" ref="N73:N80" si="62">G73+L73</f>
        <v>3202.2000000000003</v>
      </c>
      <c r="O73" s="86">
        <f t="shared" ref="O73:O80" si="63">N73-F73</f>
        <v>-195.01169999999956</v>
      </c>
      <c r="P73" s="86">
        <v>1566.5</v>
      </c>
      <c r="Q73" s="133">
        <v>1203.2</v>
      </c>
      <c r="R73" s="133">
        <v>363.3</v>
      </c>
      <c r="S73" s="133">
        <f>228-36.3</f>
        <v>191.7</v>
      </c>
      <c r="T73" s="87">
        <f t="shared" ref="T73:T80" si="64">P73+S73</f>
        <v>1758.2</v>
      </c>
      <c r="U73" s="149"/>
      <c r="V73" s="149"/>
      <c r="W73" s="89">
        <f t="shared" ref="W73:W80" si="65">U73+V73</f>
        <v>0</v>
      </c>
      <c r="X73" s="90">
        <v>4</v>
      </c>
      <c r="Y73" s="32">
        <v>6.14</v>
      </c>
      <c r="Z73" s="32">
        <v>3.14</v>
      </c>
      <c r="AA73" s="32">
        <f>0.5-0.08</f>
        <v>0.42</v>
      </c>
      <c r="AB73" s="32">
        <f>0.5-0.08</f>
        <v>0.42</v>
      </c>
      <c r="AC73" s="91">
        <f>(Z73+AB73)-X73</f>
        <v>-0.43999999999999995</v>
      </c>
      <c r="AD73" s="35">
        <f t="shared" si="6"/>
        <v>3.56</v>
      </c>
      <c r="AE73" s="92">
        <f t="shared" si="7"/>
        <v>-0.43999999999999995</v>
      </c>
    </row>
    <row r="74" spans="1:31" ht="15.75" x14ac:dyDescent="0.25">
      <c r="A74" s="113"/>
      <c r="B74" s="122"/>
      <c r="C74" s="95" t="s">
        <v>89</v>
      </c>
      <c r="D74" s="40">
        <v>2.9460000000000002</v>
      </c>
      <c r="E74" s="41">
        <v>1646.9</v>
      </c>
      <c r="F74" s="41">
        <f t="shared" si="60"/>
        <v>4851.7674000000006</v>
      </c>
      <c r="G74" s="96">
        <v>4287.7</v>
      </c>
      <c r="H74" s="96">
        <v>2173.6</v>
      </c>
      <c r="I74" s="96">
        <v>655.5</v>
      </c>
      <c r="J74" s="43">
        <f t="shared" si="61"/>
        <v>2829.1</v>
      </c>
      <c r="K74" s="43">
        <f>327.2+98.8-63.3-19.1</f>
        <v>343.59999999999997</v>
      </c>
      <c r="L74" s="43">
        <f>490-94.7</f>
        <v>395.3</v>
      </c>
      <c r="M74" s="43"/>
      <c r="N74" s="43">
        <f t="shared" si="62"/>
        <v>4683</v>
      </c>
      <c r="O74" s="43">
        <f t="shared" si="63"/>
        <v>-168.76740000000063</v>
      </c>
      <c r="P74" s="43">
        <v>1907.1</v>
      </c>
      <c r="Q74" s="96">
        <v>1465.5</v>
      </c>
      <c r="R74" s="96">
        <v>441.7</v>
      </c>
      <c r="S74" s="96">
        <f>328.2-82.4</f>
        <v>245.79999999999998</v>
      </c>
      <c r="T74" s="44">
        <f t="shared" si="64"/>
        <v>2152.9</v>
      </c>
      <c r="U74" s="125"/>
      <c r="V74" s="125"/>
      <c r="W74" s="46">
        <f t="shared" si="65"/>
        <v>0</v>
      </c>
      <c r="X74" s="47">
        <v>6</v>
      </c>
      <c r="Y74" s="48">
        <v>7.28</v>
      </c>
      <c r="Z74" s="48">
        <v>4.28</v>
      </c>
      <c r="AA74" s="48">
        <f>0.97-0.18</f>
        <v>0.79</v>
      </c>
      <c r="AB74" s="48">
        <f>0.72-0.18</f>
        <v>0.54</v>
      </c>
      <c r="AC74" s="49">
        <f t="shared" ref="AC74:AC80" si="66">(Z74+AB74)-X74</f>
        <v>-1.1799999999999997</v>
      </c>
      <c r="AD74" s="50">
        <f t="shared" si="6"/>
        <v>4.82</v>
      </c>
      <c r="AE74" s="51">
        <f t="shared" si="7"/>
        <v>-1.1799999999999997</v>
      </c>
    </row>
    <row r="75" spans="1:31" ht="15.75" x14ac:dyDescent="0.25">
      <c r="A75" s="113"/>
      <c r="B75" s="122"/>
      <c r="C75" s="99" t="s">
        <v>90</v>
      </c>
      <c r="D75" s="40">
        <v>3.9180000000000001</v>
      </c>
      <c r="E75" s="41">
        <v>1172.5</v>
      </c>
      <c r="F75" s="41">
        <f t="shared" si="60"/>
        <v>4593.8550000000005</v>
      </c>
      <c r="G75" s="96">
        <v>3765.9</v>
      </c>
      <c r="H75" s="96">
        <v>2698</v>
      </c>
      <c r="I75" s="96">
        <v>814.7</v>
      </c>
      <c r="J75" s="43">
        <v>991.8</v>
      </c>
      <c r="K75" s="43">
        <f>433.9+131-47.1-14.2</f>
        <v>503.59999999999997</v>
      </c>
      <c r="L75" s="43">
        <f>649.7-70.5</f>
        <v>579.20000000000005</v>
      </c>
      <c r="M75" s="43"/>
      <c r="N75" s="43">
        <f t="shared" si="62"/>
        <v>4345.1000000000004</v>
      </c>
      <c r="O75" s="43">
        <f t="shared" si="63"/>
        <v>-248.75500000000011</v>
      </c>
      <c r="P75" s="43">
        <v>1701.2</v>
      </c>
      <c r="Q75" s="96">
        <v>1306.7</v>
      </c>
      <c r="R75" s="96">
        <v>394.5</v>
      </c>
      <c r="S75" s="96">
        <f>341.9-61.3</f>
        <v>280.59999999999997</v>
      </c>
      <c r="T75" s="44">
        <f t="shared" si="64"/>
        <v>1981.8</v>
      </c>
      <c r="U75" s="125"/>
      <c r="V75" s="125"/>
      <c r="W75" s="46">
        <f t="shared" si="65"/>
        <v>0</v>
      </c>
      <c r="X75" s="47">
        <v>6</v>
      </c>
      <c r="Y75" s="48">
        <v>10.25</v>
      </c>
      <c r="Z75" s="48">
        <v>4.25</v>
      </c>
      <c r="AA75" s="48">
        <f>1.32-0.14</f>
        <v>1.1800000000000002</v>
      </c>
      <c r="AB75" s="48">
        <f>0.75-0.14</f>
        <v>0.61</v>
      </c>
      <c r="AC75" s="49">
        <f t="shared" si="66"/>
        <v>-1.1399999999999997</v>
      </c>
      <c r="AD75" s="50">
        <f t="shared" si="6"/>
        <v>4.8600000000000003</v>
      </c>
      <c r="AE75" s="51">
        <f t="shared" si="7"/>
        <v>-1.1399999999999997</v>
      </c>
    </row>
    <row r="76" spans="1:31" ht="15.75" x14ac:dyDescent="0.25">
      <c r="A76" s="113"/>
      <c r="B76" s="122"/>
      <c r="C76" s="99" t="s">
        <v>91</v>
      </c>
      <c r="D76" s="40">
        <v>4.5709999999999997</v>
      </c>
      <c r="E76" s="41">
        <v>1190.0999999999999</v>
      </c>
      <c r="F76" s="41">
        <f t="shared" si="60"/>
        <v>5439.9470999999994</v>
      </c>
      <c r="G76" s="96">
        <v>3687</v>
      </c>
      <c r="H76" s="96">
        <v>2409.3000000000002</v>
      </c>
      <c r="I76" s="96">
        <v>727.7</v>
      </c>
      <c r="J76" s="43">
        <f t="shared" si="61"/>
        <v>3137</v>
      </c>
      <c r="K76" s="43">
        <f>509.6-45.9+153.9-13.9</f>
        <v>603.70000000000005</v>
      </c>
      <c r="L76" s="43">
        <f>763.1-68.8</f>
        <v>694.30000000000007</v>
      </c>
      <c r="M76" s="43"/>
      <c r="N76" s="43">
        <f t="shared" si="62"/>
        <v>4381.3</v>
      </c>
      <c r="O76" s="43">
        <f t="shared" si="63"/>
        <v>-1058.6470999999992</v>
      </c>
      <c r="P76" s="43">
        <v>2040.2</v>
      </c>
      <c r="Q76" s="96">
        <v>1566.9</v>
      </c>
      <c r="R76" s="96">
        <v>473.3</v>
      </c>
      <c r="S76" s="96">
        <f>319.1-59.8</f>
        <v>259.3</v>
      </c>
      <c r="T76" s="44">
        <f t="shared" si="64"/>
        <v>2299.5</v>
      </c>
      <c r="U76" s="125"/>
      <c r="V76" s="125"/>
      <c r="W76" s="46">
        <f t="shared" si="65"/>
        <v>0</v>
      </c>
      <c r="X76" s="47">
        <v>6</v>
      </c>
      <c r="Y76" s="48">
        <v>7.18</v>
      </c>
      <c r="Z76" s="48">
        <v>4.18</v>
      </c>
      <c r="AA76" s="48">
        <f>1.58-0.13</f>
        <v>1.4500000000000002</v>
      </c>
      <c r="AB76" s="48">
        <f>0.7-0.13</f>
        <v>0.56999999999999995</v>
      </c>
      <c r="AC76" s="49">
        <f t="shared" si="66"/>
        <v>-1.25</v>
      </c>
      <c r="AD76" s="50">
        <f t="shared" si="6"/>
        <v>4.75</v>
      </c>
      <c r="AE76" s="51">
        <v>-1.2</v>
      </c>
    </row>
    <row r="77" spans="1:31" ht="15.75" x14ac:dyDescent="0.25">
      <c r="A77" s="113"/>
      <c r="B77" s="122"/>
      <c r="C77" s="95" t="s">
        <v>92</v>
      </c>
      <c r="D77" s="40">
        <v>1.974</v>
      </c>
      <c r="E77" s="41">
        <v>2058.6</v>
      </c>
      <c r="F77" s="41">
        <f t="shared" si="60"/>
        <v>4063.6763999999998</v>
      </c>
      <c r="G77" s="96">
        <v>3701.6</v>
      </c>
      <c r="H77" s="96">
        <v>2390.3000000000002</v>
      </c>
      <c r="I77" s="96">
        <v>721.9</v>
      </c>
      <c r="J77" s="43">
        <f t="shared" si="61"/>
        <v>3112.2000000000003</v>
      </c>
      <c r="K77" s="43">
        <f>229.2-36.3+69.2-11</f>
        <v>251.09999999999997</v>
      </c>
      <c r="L77" s="43">
        <f>343.1-54.4</f>
        <v>288.70000000000005</v>
      </c>
      <c r="M77" s="43"/>
      <c r="N77" s="43">
        <f t="shared" si="62"/>
        <v>3990.3</v>
      </c>
      <c r="O77" s="43">
        <f t="shared" si="63"/>
        <v>-73.376399999999649</v>
      </c>
      <c r="P77" s="43">
        <v>1893.2</v>
      </c>
      <c r="Q77" s="96">
        <v>1454</v>
      </c>
      <c r="R77" s="96">
        <v>439.2</v>
      </c>
      <c r="S77" s="96">
        <f>228-47.3</f>
        <v>180.7</v>
      </c>
      <c r="T77" s="44">
        <f t="shared" si="64"/>
        <v>2073.9</v>
      </c>
      <c r="U77" s="125"/>
      <c r="V77" s="125"/>
      <c r="W77" s="46">
        <f t="shared" si="65"/>
        <v>0</v>
      </c>
      <c r="X77" s="47">
        <v>5</v>
      </c>
      <c r="Y77" s="48">
        <v>8.25</v>
      </c>
      <c r="Z77" s="48">
        <v>4.25</v>
      </c>
      <c r="AA77" s="48">
        <f>0.68-0.1</f>
        <v>0.58000000000000007</v>
      </c>
      <c r="AB77" s="48">
        <f>0.5-0.1</f>
        <v>0.4</v>
      </c>
      <c r="AC77" s="49">
        <f t="shared" si="66"/>
        <v>-0.34999999999999964</v>
      </c>
      <c r="AD77" s="50">
        <f t="shared" si="6"/>
        <v>4.6500000000000004</v>
      </c>
      <c r="AE77" s="51">
        <v>-0.3</v>
      </c>
    </row>
    <row r="78" spans="1:31" ht="15.75" x14ac:dyDescent="0.25">
      <c r="A78" s="113"/>
      <c r="B78" s="122"/>
      <c r="C78" s="95" t="s">
        <v>93</v>
      </c>
      <c r="D78" s="40">
        <v>1.2150000000000001</v>
      </c>
      <c r="E78" s="41">
        <v>1973.8</v>
      </c>
      <c r="F78" s="41">
        <f t="shared" si="60"/>
        <v>2398.1669999999999</v>
      </c>
      <c r="G78" s="96">
        <v>1958.6</v>
      </c>
      <c r="H78" s="96">
        <v>1394</v>
      </c>
      <c r="I78" s="96">
        <v>421</v>
      </c>
      <c r="J78" s="43">
        <f t="shared" si="61"/>
        <v>1815</v>
      </c>
      <c r="K78" s="43">
        <f>134.1-12.1+40.5-3.7</f>
        <v>158.80000000000001</v>
      </c>
      <c r="L78" s="43">
        <f>200.7-18.2</f>
        <v>182.5</v>
      </c>
      <c r="M78" s="43"/>
      <c r="N78" s="43">
        <f t="shared" si="62"/>
        <v>2141.1</v>
      </c>
      <c r="O78" s="43">
        <f t="shared" si="63"/>
        <v>-257.06700000000001</v>
      </c>
      <c r="P78" s="43">
        <v>1357.8</v>
      </c>
      <c r="Q78" s="96">
        <v>1042.8</v>
      </c>
      <c r="R78" s="96">
        <v>315</v>
      </c>
      <c r="S78" s="96">
        <f>155-15.8</f>
        <v>139.19999999999999</v>
      </c>
      <c r="T78" s="44">
        <f t="shared" si="64"/>
        <v>1497</v>
      </c>
      <c r="U78" s="125"/>
      <c r="V78" s="125"/>
      <c r="W78" s="46">
        <f t="shared" si="65"/>
        <v>0</v>
      </c>
      <c r="X78" s="47">
        <v>4</v>
      </c>
      <c r="Y78" s="48">
        <v>3.57</v>
      </c>
      <c r="Z78" s="48">
        <v>2.57</v>
      </c>
      <c r="AA78" s="48">
        <f>0.39-0.04</f>
        <v>0.35000000000000003</v>
      </c>
      <c r="AB78" s="48">
        <f>0.34-0.04</f>
        <v>0.30000000000000004</v>
      </c>
      <c r="AC78" s="49">
        <f t="shared" si="66"/>
        <v>-1.1299999999999999</v>
      </c>
      <c r="AD78" s="50">
        <f t="shared" si="6"/>
        <v>2.87</v>
      </c>
      <c r="AE78" s="51">
        <f t="shared" si="7"/>
        <v>-1.1299999999999999</v>
      </c>
    </row>
    <row r="79" spans="1:31" ht="16.5" customHeight="1" x14ac:dyDescent="0.25">
      <c r="A79" s="113"/>
      <c r="B79" s="122"/>
      <c r="C79" s="95" t="s">
        <v>94</v>
      </c>
      <c r="D79" s="40">
        <v>1.105</v>
      </c>
      <c r="E79" s="41">
        <v>2980.3</v>
      </c>
      <c r="F79" s="41">
        <f t="shared" si="60"/>
        <v>3293.2315000000003</v>
      </c>
      <c r="G79" s="96">
        <v>2947</v>
      </c>
      <c r="H79" s="96">
        <v>1655</v>
      </c>
      <c r="I79" s="96">
        <v>499.7</v>
      </c>
      <c r="J79" s="43">
        <f t="shared" si="61"/>
        <v>2154.6999999999998</v>
      </c>
      <c r="K79" s="43">
        <f>133+40.2-23.7-7.2</f>
        <v>142.30000000000001</v>
      </c>
      <c r="L79" s="43">
        <f>199.2-35.5</f>
        <v>163.69999999999999</v>
      </c>
      <c r="M79" s="43"/>
      <c r="N79" s="43">
        <f t="shared" si="62"/>
        <v>3110.7</v>
      </c>
      <c r="O79" s="43">
        <f t="shared" si="63"/>
        <v>-182.53150000000051</v>
      </c>
      <c r="P79" s="43">
        <v>1449.9</v>
      </c>
      <c r="Q79" s="96">
        <v>1113.5999999999999</v>
      </c>
      <c r="R79" s="96">
        <v>336.3</v>
      </c>
      <c r="S79" s="96">
        <f>173.2-30.9</f>
        <v>142.29999999999998</v>
      </c>
      <c r="T79" s="44">
        <f t="shared" si="64"/>
        <v>1592.2</v>
      </c>
      <c r="U79" s="125"/>
      <c r="V79" s="125"/>
      <c r="W79" s="46">
        <f t="shared" si="65"/>
        <v>0</v>
      </c>
      <c r="X79" s="47">
        <v>4</v>
      </c>
      <c r="Y79" s="48">
        <v>4.9400000000000004</v>
      </c>
      <c r="Z79" s="48">
        <v>3.14</v>
      </c>
      <c r="AA79" s="48">
        <f>0.38-0.07</f>
        <v>0.31</v>
      </c>
      <c r="AB79" s="48">
        <f>0.38-0.07</f>
        <v>0.31</v>
      </c>
      <c r="AC79" s="49">
        <f t="shared" si="66"/>
        <v>-0.54999999999999982</v>
      </c>
      <c r="AD79" s="50">
        <f t="shared" si="6"/>
        <v>3.45</v>
      </c>
      <c r="AE79" s="51">
        <v>-0.5</v>
      </c>
    </row>
    <row r="80" spans="1:31" ht="16.5" customHeight="1" x14ac:dyDescent="0.25">
      <c r="A80" s="113"/>
      <c r="B80" s="122"/>
      <c r="C80" s="95" t="s">
        <v>95</v>
      </c>
      <c r="D80" s="40">
        <v>1.6140000000000001</v>
      </c>
      <c r="E80" s="41">
        <v>1858.3</v>
      </c>
      <c r="F80" s="41">
        <f t="shared" si="60"/>
        <v>2999.2962000000002</v>
      </c>
      <c r="G80" s="96">
        <v>2720</v>
      </c>
      <c r="H80" s="96">
        <v>1572.4</v>
      </c>
      <c r="I80" s="96">
        <v>474.8</v>
      </c>
      <c r="J80" s="43">
        <f t="shared" si="61"/>
        <v>2047.2</v>
      </c>
      <c r="K80" s="43">
        <f>178.6-4.2+53.9-1.3</f>
        <v>227</v>
      </c>
      <c r="L80" s="43">
        <f>267.4-6.1</f>
        <v>261.29999999999995</v>
      </c>
      <c r="M80" s="43"/>
      <c r="N80" s="43">
        <f t="shared" si="62"/>
        <v>2981.3</v>
      </c>
      <c r="O80" s="43">
        <f t="shared" si="63"/>
        <v>-17.996200000000044</v>
      </c>
      <c r="P80" s="43">
        <v>1470.2</v>
      </c>
      <c r="Q80" s="96">
        <v>1129.4000000000001</v>
      </c>
      <c r="R80" s="96">
        <v>341.1</v>
      </c>
      <c r="S80" s="96">
        <f>232.5-5.5</f>
        <v>227</v>
      </c>
      <c r="T80" s="44">
        <f t="shared" si="64"/>
        <v>1697.2</v>
      </c>
      <c r="U80" s="125"/>
      <c r="V80" s="125"/>
      <c r="W80" s="46">
        <f t="shared" si="65"/>
        <v>0</v>
      </c>
      <c r="X80" s="47">
        <v>4</v>
      </c>
      <c r="Y80" s="48">
        <v>5.0199999999999996</v>
      </c>
      <c r="Z80" s="48">
        <v>3.02</v>
      </c>
      <c r="AA80" s="48">
        <f>0.51-0.01</f>
        <v>0.5</v>
      </c>
      <c r="AB80" s="48">
        <f>0.51-0.01</f>
        <v>0.5</v>
      </c>
      <c r="AC80" s="49">
        <f t="shared" si="66"/>
        <v>-0.48</v>
      </c>
      <c r="AD80" s="50">
        <f t="shared" si="6"/>
        <v>3.52</v>
      </c>
      <c r="AE80" s="51">
        <f t="shared" si="7"/>
        <v>-0.48</v>
      </c>
    </row>
    <row r="81" spans="1:31" ht="22.5" customHeight="1" thickBot="1" x14ac:dyDescent="0.3">
      <c r="A81" s="113"/>
      <c r="B81" s="126"/>
      <c r="C81" s="127" t="s">
        <v>65</v>
      </c>
      <c r="D81" s="150">
        <f>ROUND(SUM(D73:D80),3)</f>
        <v>18.852</v>
      </c>
      <c r="E81" s="58"/>
      <c r="F81" s="58"/>
      <c r="G81" s="67">
        <f t="shared" ref="G81:L81" si="67">ROUND(SUM(G73:G80),3)</f>
        <v>26049.7</v>
      </c>
      <c r="H81" s="67">
        <f t="shared" si="67"/>
        <v>16170.1</v>
      </c>
      <c r="I81" s="67">
        <f t="shared" si="67"/>
        <v>4882.1000000000004</v>
      </c>
      <c r="J81" s="67">
        <f t="shared" si="67"/>
        <v>18531.3</v>
      </c>
      <c r="K81" s="67">
        <f t="shared" si="67"/>
        <v>2421.8000000000002</v>
      </c>
      <c r="L81" s="67">
        <f t="shared" si="67"/>
        <v>2785.3</v>
      </c>
      <c r="M81" s="67"/>
      <c r="N81" s="67">
        <f>ROUND(SUM(N73:N80),3)</f>
        <v>28835</v>
      </c>
      <c r="O81" s="60"/>
      <c r="P81" s="67">
        <f t="shared" ref="P81:W81" si="68">ROUND(SUM(P73:P80),3)</f>
        <v>13386.1</v>
      </c>
      <c r="Q81" s="67">
        <f t="shared" si="68"/>
        <v>10282.1</v>
      </c>
      <c r="R81" s="67">
        <f t="shared" si="68"/>
        <v>3104.4</v>
      </c>
      <c r="S81" s="67">
        <f t="shared" si="68"/>
        <v>1666.6</v>
      </c>
      <c r="T81" s="67">
        <f t="shared" si="68"/>
        <v>15052.7</v>
      </c>
      <c r="U81" s="67">
        <f t="shared" si="68"/>
        <v>0</v>
      </c>
      <c r="V81" s="67">
        <f t="shared" si="68"/>
        <v>0</v>
      </c>
      <c r="W81" s="151">
        <f t="shared" si="68"/>
        <v>0</v>
      </c>
      <c r="X81" s="152"/>
      <c r="Y81" s="67">
        <f>ROUND(SUM(Y73:Y80),3)</f>
        <v>52.63</v>
      </c>
      <c r="Z81" s="67">
        <f>ROUND(SUM(Z73:Z80),3)</f>
        <v>28.83</v>
      </c>
      <c r="AA81" s="67">
        <f>ROUND(SUM(AA73:AA80),3)</f>
        <v>5.58</v>
      </c>
      <c r="AB81" s="67">
        <f>ROUND(SUM(AB73:AB80),3)</f>
        <v>3.65</v>
      </c>
      <c r="AC81" s="65"/>
      <c r="AD81" s="67">
        <f t="shared" si="6"/>
        <v>32.479999999999997</v>
      </c>
      <c r="AE81" s="68"/>
    </row>
    <row r="82" spans="1:31" ht="16.5" customHeight="1" x14ac:dyDescent="0.25">
      <c r="A82" s="113"/>
      <c r="B82" s="118" t="s">
        <v>44</v>
      </c>
      <c r="C82" s="119" t="s">
        <v>96</v>
      </c>
      <c r="D82" s="83">
        <v>3.573</v>
      </c>
      <c r="E82" s="84">
        <v>452.4</v>
      </c>
      <c r="F82" s="84">
        <f t="shared" ref="F82:F86" si="69">E82*D82</f>
        <v>1616.4251999999999</v>
      </c>
      <c r="G82" s="120">
        <v>1392.1</v>
      </c>
      <c r="H82" s="120">
        <v>876.5</v>
      </c>
      <c r="I82" s="120">
        <v>267.39999999999998</v>
      </c>
      <c r="J82" s="86">
        <f>H82+I82</f>
        <v>1143.9000000000001</v>
      </c>
      <c r="K82" s="86"/>
      <c r="L82" s="86">
        <v>2</v>
      </c>
      <c r="M82" s="86"/>
      <c r="N82" s="86">
        <f>G82+L82</f>
        <v>1394.1</v>
      </c>
      <c r="O82" s="86">
        <f>N82-F82</f>
        <v>-222.3252</v>
      </c>
      <c r="P82" s="86">
        <v>767.7</v>
      </c>
      <c r="Q82" s="120">
        <v>590.6</v>
      </c>
      <c r="R82" s="120">
        <v>177.1</v>
      </c>
      <c r="S82" s="120"/>
      <c r="T82" s="87">
        <f t="shared" ref="T82:T86" si="70">P82+S82</f>
        <v>767.7</v>
      </c>
      <c r="U82" s="121"/>
      <c r="V82" s="121"/>
      <c r="W82" s="89">
        <f>U82+V82</f>
        <v>0</v>
      </c>
      <c r="X82" s="90">
        <v>2</v>
      </c>
      <c r="Y82" s="32">
        <v>3.5</v>
      </c>
      <c r="Z82" s="32">
        <v>2</v>
      </c>
      <c r="AA82" s="32"/>
      <c r="AB82" s="32"/>
      <c r="AC82" s="91">
        <f t="shared" ref="AC82:AC86" si="71">(Z82+AB82)-X82</f>
        <v>0</v>
      </c>
      <c r="AD82" s="35">
        <f t="shared" si="6"/>
        <v>2</v>
      </c>
      <c r="AE82" s="92">
        <f t="shared" si="7"/>
        <v>0</v>
      </c>
    </row>
    <row r="83" spans="1:31" ht="16.5" customHeight="1" x14ac:dyDescent="0.25">
      <c r="A83" s="113"/>
      <c r="B83" s="122"/>
      <c r="C83" s="99" t="s">
        <v>97</v>
      </c>
      <c r="D83" s="40">
        <v>2.2839999999999998</v>
      </c>
      <c r="E83" s="41">
        <v>1576.3</v>
      </c>
      <c r="F83" s="41">
        <f t="shared" si="69"/>
        <v>3600.2691999999997</v>
      </c>
      <c r="G83" s="96">
        <v>3647.6</v>
      </c>
      <c r="H83" s="96">
        <v>2288.6999999999998</v>
      </c>
      <c r="I83" s="96">
        <v>693.5</v>
      </c>
      <c r="J83" s="43">
        <f>H83+I83</f>
        <v>2982.2</v>
      </c>
      <c r="K83" s="43">
        <f>-39.4-11.9</f>
        <v>-51.3</v>
      </c>
      <c r="L83" s="43">
        <f>4-51.3</f>
        <v>-47.3</v>
      </c>
      <c r="M83" s="43"/>
      <c r="N83" s="43">
        <f>G83+L83</f>
        <v>3600.2999999999997</v>
      </c>
      <c r="O83" s="43">
        <f>N83-F83</f>
        <v>3.0799999999999272E-2</v>
      </c>
      <c r="P83" s="43">
        <v>2208.1</v>
      </c>
      <c r="Q83" s="96">
        <v>1687.9</v>
      </c>
      <c r="R83" s="96">
        <v>520.20000000000005</v>
      </c>
      <c r="S83" s="96"/>
      <c r="T83" s="44">
        <f t="shared" si="70"/>
        <v>2208.1</v>
      </c>
      <c r="U83" s="125"/>
      <c r="V83" s="125"/>
      <c r="W83" s="46">
        <f>U83+V83</f>
        <v>0</v>
      </c>
      <c r="X83" s="47">
        <v>5</v>
      </c>
      <c r="Y83" s="48">
        <v>8.25</v>
      </c>
      <c r="Z83" s="48">
        <v>5</v>
      </c>
      <c r="AA83" s="48">
        <f>-0.25</f>
        <v>-0.25</v>
      </c>
      <c r="AB83" s="48"/>
      <c r="AC83" s="49">
        <f t="shared" si="71"/>
        <v>0</v>
      </c>
      <c r="AD83" s="50">
        <f t="shared" si="6"/>
        <v>5</v>
      </c>
      <c r="AE83" s="51">
        <f t="shared" si="7"/>
        <v>0</v>
      </c>
    </row>
    <row r="84" spans="1:31" ht="16.5" customHeight="1" x14ac:dyDescent="0.25">
      <c r="A84" s="113"/>
      <c r="B84" s="122"/>
      <c r="C84" s="95" t="s">
        <v>98</v>
      </c>
      <c r="D84" s="40">
        <v>1.1080000000000001</v>
      </c>
      <c r="E84" s="41">
        <v>1976.9</v>
      </c>
      <c r="F84" s="41">
        <f t="shared" si="69"/>
        <v>2190.4052000000001</v>
      </c>
      <c r="G84" s="96">
        <v>2237.5</v>
      </c>
      <c r="H84" s="96">
        <v>1400.6</v>
      </c>
      <c r="I84" s="96">
        <v>417.3</v>
      </c>
      <c r="J84" s="43">
        <f>H84+I84</f>
        <v>1817.8999999999999</v>
      </c>
      <c r="K84" s="43">
        <f>-39.5-11.9</f>
        <v>-51.4</v>
      </c>
      <c r="L84" s="43">
        <f>4-51.4</f>
        <v>-47.4</v>
      </c>
      <c r="M84" s="43"/>
      <c r="N84" s="43">
        <f>G84+L84</f>
        <v>2190.1</v>
      </c>
      <c r="O84" s="43">
        <f>N84-F84</f>
        <v>-0.30520000000024083</v>
      </c>
      <c r="P84" s="43">
        <v>984.5</v>
      </c>
      <c r="Q84" s="96">
        <v>756.4</v>
      </c>
      <c r="R84" s="96">
        <v>228.1</v>
      </c>
      <c r="S84" s="96"/>
      <c r="T84" s="44">
        <f t="shared" si="70"/>
        <v>984.5</v>
      </c>
      <c r="U84" s="125"/>
      <c r="V84" s="125"/>
      <c r="W84" s="46">
        <f>U84+V84</f>
        <v>0</v>
      </c>
      <c r="X84" s="47">
        <v>4</v>
      </c>
      <c r="Y84" s="48">
        <v>5.5</v>
      </c>
      <c r="Z84" s="48">
        <v>2</v>
      </c>
      <c r="AA84" s="48">
        <v>-0.25</v>
      </c>
      <c r="AB84" s="48"/>
      <c r="AC84" s="49">
        <f t="shared" si="71"/>
        <v>-2</v>
      </c>
      <c r="AD84" s="50">
        <f t="shared" ref="AD84:AD149" si="72">Z84+AB84</f>
        <v>2</v>
      </c>
      <c r="AE84" s="51">
        <f t="shared" ref="AE84:AE149" si="73">AD84-X84</f>
        <v>-2</v>
      </c>
    </row>
    <row r="85" spans="1:31" ht="16.5" customHeight="1" x14ac:dyDescent="0.25">
      <c r="A85" s="113"/>
      <c r="B85" s="122"/>
      <c r="C85" s="95" t="s">
        <v>99</v>
      </c>
      <c r="D85" s="40">
        <v>0.70799999999999996</v>
      </c>
      <c r="E85" s="41">
        <v>2044.7</v>
      </c>
      <c r="F85" s="41">
        <f t="shared" si="69"/>
        <v>1447.6476</v>
      </c>
      <c r="G85" s="96">
        <v>1627.2</v>
      </c>
      <c r="H85" s="96">
        <v>1007.5</v>
      </c>
      <c r="I85" s="96">
        <v>293.39999999999998</v>
      </c>
      <c r="J85" s="43">
        <f>H85+I85</f>
        <v>1300.9000000000001</v>
      </c>
      <c r="K85" s="43">
        <f>-29.2-8.9</f>
        <v>-38.1</v>
      </c>
      <c r="L85" s="43">
        <f>4-38.1</f>
        <v>-34.1</v>
      </c>
      <c r="M85" s="43"/>
      <c r="N85" s="43">
        <f>G85+L85</f>
        <v>1593.1000000000001</v>
      </c>
      <c r="O85" s="153">
        <f>N85-F85</f>
        <v>145.45240000000013</v>
      </c>
      <c r="P85" s="43">
        <v>848.4</v>
      </c>
      <c r="Q85" s="96">
        <v>658.1</v>
      </c>
      <c r="R85" s="96">
        <v>190.3</v>
      </c>
      <c r="S85" s="96"/>
      <c r="T85" s="44">
        <f t="shared" si="70"/>
        <v>848.4</v>
      </c>
      <c r="U85" s="125"/>
      <c r="V85" s="125"/>
      <c r="W85" s="46">
        <f>U85+V85</f>
        <v>0</v>
      </c>
      <c r="X85" s="47">
        <v>3</v>
      </c>
      <c r="Y85" s="48">
        <v>6</v>
      </c>
      <c r="Z85" s="48">
        <v>3</v>
      </c>
      <c r="AA85" s="48">
        <v>-0.25</v>
      </c>
      <c r="AB85" s="48"/>
      <c r="AC85" s="49">
        <f t="shared" si="71"/>
        <v>0</v>
      </c>
      <c r="AD85" s="50">
        <f t="shared" si="72"/>
        <v>3</v>
      </c>
      <c r="AE85" s="51">
        <f t="shared" si="73"/>
        <v>0</v>
      </c>
    </row>
    <row r="86" spans="1:31" ht="16.5" customHeight="1" x14ac:dyDescent="0.25">
      <c r="A86" s="113"/>
      <c r="B86" s="122"/>
      <c r="C86" s="95" t="s">
        <v>100</v>
      </c>
      <c r="D86" s="40">
        <v>0.78700000000000003</v>
      </c>
      <c r="E86" s="41">
        <v>2365.5</v>
      </c>
      <c r="F86" s="41">
        <f t="shared" si="69"/>
        <v>1861.6485</v>
      </c>
      <c r="G86" s="96">
        <v>1681.4</v>
      </c>
      <c r="H86" s="96">
        <v>1115.9000000000001</v>
      </c>
      <c r="I86" s="96">
        <v>352.2</v>
      </c>
      <c r="J86" s="43">
        <f>H86+I86</f>
        <v>1468.1000000000001</v>
      </c>
      <c r="K86" s="43">
        <f>-36.1-10.6</f>
        <v>-46.7</v>
      </c>
      <c r="L86" s="43">
        <f>4-46.7</f>
        <v>-42.7</v>
      </c>
      <c r="M86" s="43"/>
      <c r="N86" s="43">
        <f>G86+L86</f>
        <v>1638.7</v>
      </c>
      <c r="O86" s="43">
        <f>N86-F86</f>
        <v>-222.94849999999997</v>
      </c>
      <c r="P86" s="43">
        <v>663.3</v>
      </c>
      <c r="Q86" s="96">
        <v>520.5</v>
      </c>
      <c r="R86" s="96">
        <v>142.80000000000001</v>
      </c>
      <c r="S86" s="96"/>
      <c r="T86" s="44">
        <f t="shared" si="70"/>
        <v>663.3</v>
      </c>
      <c r="U86" s="125"/>
      <c r="V86" s="125"/>
      <c r="W86" s="46">
        <f>U86+V86</f>
        <v>0</v>
      </c>
      <c r="X86" s="47">
        <v>3</v>
      </c>
      <c r="Y86" s="48">
        <v>5.25</v>
      </c>
      <c r="Z86" s="48">
        <v>2</v>
      </c>
      <c r="AA86" s="48">
        <v>-0.25</v>
      </c>
      <c r="AB86" s="48"/>
      <c r="AC86" s="49">
        <f t="shared" si="71"/>
        <v>-1</v>
      </c>
      <c r="AD86" s="50">
        <f t="shared" si="72"/>
        <v>2</v>
      </c>
      <c r="AE86" s="51">
        <f t="shared" si="73"/>
        <v>-1</v>
      </c>
    </row>
    <row r="87" spans="1:31" ht="16.5" customHeight="1" thickBot="1" x14ac:dyDescent="0.3">
      <c r="A87" s="113"/>
      <c r="B87" s="126"/>
      <c r="C87" s="127" t="s">
        <v>65</v>
      </c>
      <c r="D87" s="150">
        <f t="shared" ref="D87" si="74">ROUND(SUM(D82:D86),3)</f>
        <v>8.4600000000000009</v>
      </c>
      <c r="E87" s="58"/>
      <c r="F87" s="58"/>
      <c r="G87" s="67">
        <f t="shared" ref="G87:W87" si="75">ROUND(SUM(G82:G86),3)</f>
        <v>10585.8</v>
      </c>
      <c r="H87" s="67">
        <f t="shared" si="75"/>
        <v>6689.2</v>
      </c>
      <c r="I87" s="67">
        <f t="shared" si="75"/>
        <v>2023.8</v>
      </c>
      <c r="J87" s="67">
        <f t="shared" si="75"/>
        <v>8713</v>
      </c>
      <c r="K87" s="67">
        <f t="shared" si="75"/>
        <v>-187.5</v>
      </c>
      <c r="L87" s="67">
        <f t="shared" si="75"/>
        <v>-169.5</v>
      </c>
      <c r="M87" s="67"/>
      <c r="N87" s="67">
        <f t="shared" si="75"/>
        <v>10416.299999999999</v>
      </c>
      <c r="O87" s="60"/>
      <c r="P87" s="67">
        <f t="shared" ref="P87:T87" si="76">ROUND(SUM(P82:P86),3)</f>
        <v>5472</v>
      </c>
      <c r="Q87" s="67">
        <f t="shared" si="76"/>
        <v>4213.5</v>
      </c>
      <c r="R87" s="67">
        <f t="shared" si="76"/>
        <v>1258.5</v>
      </c>
      <c r="S87" s="67">
        <f t="shared" si="76"/>
        <v>0</v>
      </c>
      <c r="T87" s="67">
        <f t="shared" si="76"/>
        <v>5472</v>
      </c>
      <c r="U87" s="67">
        <f t="shared" si="75"/>
        <v>0</v>
      </c>
      <c r="V87" s="67">
        <f t="shared" si="75"/>
        <v>0</v>
      </c>
      <c r="W87" s="151">
        <f t="shared" si="75"/>
        <v>0</v>
      </c>
      <c r="X87" s="152"/>
      <c r="Y87" s="154">
        <f t="shared" ref="Y87:AB87" si="77">ROUND(SUM(Y82:Y86),3)</f>
        <v>28.5</v>
      </c>
      <c r="Z87" s="67">
        <f t="shared" si="77"/>
        <v>14</v>
      </c>
      <c r="AA87" s="67">
        <f t="shared" si="77"/>
        <v>-1</v>
      </c>
      <c r="AB87" s="67">
        <f t="shared" si="77"/>
        <v>0</v>
      </c>
      <c r="AC87" s="65"/>
      <c r="AD87" s="67">
        <f t="shared" si="72"/>
        <v>14</v>
      </c>
      <c r="AE87" s="68"/>
    </row>
    <row r="88" spans="1:31" ht="16.5" customHeight="1" x14ac:dyDescent="0.25">
      <c r="A88" s="113"/>
      <c r="B88" s="118" t="s">
        <v>45</v>
      </c>
      <c r="C88" s="119" t="s">
        <v>101</v>
      </c>
      <c r="D88" s="83">
        <v>12.638999999999999</v>
      </c>
      <c r="E88" s="84">
        <v>982.9</v>
      </c>
      <c r="F88" s="84">
        <f t="shared" ref="F88:F132" si="78">E88*D88</f>
        <v>12422.873099999999</v>
      </c>
      <c r="G88" s="120">
        <v>11541.5</v>
      </c>
      <c r="H88" s="120">
        <v>6654.4</v>
      </c>
      <c r="I88" s="120">
        <v>2115.6999999999998</v>
      </c>
      <c r="J88" s="86">
        <f t="shared" ref="J88:J94" si="79">H88+I88</f>
        <v>8770.0999999999985</v>
      </c>
      <c r="K88" s="86">
        <f>231.9+69</f>
        <v>300.89999999999998</v>
      </c>
      <c r="L88" s="86">
        <f>881.3</f>
        <v>881.3</v>
      </c>
      <c r="M88" s="86"/>
      <c r="N88" s="86">
        <f t="shared" ref="N88:N94" si="80">G88+L88</f>
        <v>12422.8</v>
      </c>
      <c r="O88" s="86">
        <f t="shared" ref="O88:O94" si="81">N88-F88</f>
        <v>-7.3099999999612919E-2</v>
      </c>
      <c r="P88" s="86">
        <v>6143.8</v>
      </c>
      <c r="Q88" s="120">
        <v>4743.7</v>
      </c>
      <c r="R88" s="120">
        <v>1400.1</v>
      </c>
      <c r="S88" s="120"/>
      <c r="T88" s="87">
        <f t="shared" ref="T88:T94" si="82">P88+S88</f>
        <v>6143.8</v>
      </c>
      <c r="U88" s="121"/>
      <c r="V88" s="121"/>
      <c r="W88" s="89">
        <f t="shared" ref="W88:W94" si="83">U88+V88</f>
        <v>0</v>
      </c>
      <c r="X88" s="90">
        <v>16</v>
      </c>
      <c r="Y88" s="32">
        <v>24.5</v>
      </c>
      <c r="Z88" s="32">
        <v>13</v>
      </c>
      <c r="AA88" s="32">
        <v>1.5</v>
      </c>
      <c r="AB88" s="32"/>
      <c r="AC88" s="91">
        <f t="shared" ref="AC88:AC94" si="84">(Z88+AB88)-X88</f>
        <v>-3</v>
      </c>
      <c r="AD88" s="35">
        <f t="shared" si="72"/>
        <v>13</v>
      </c>
      <c r="AE88" s="92">
        <f t="shared" si="73"/>
        <v>-3</v>
      </c>
    </row>
    <row r="89" spans="1:31" ht="16.5" customHeight="1" x14ac:dyDescent="0.25">
      <c r="A89" s="113"/>
      <c r="B89" s="122"/>
      <c r="C89" s="95" t="s">
        <v>102</v>
      </c>
      <c r="D89" s="40">
        <v>1.0549999999999999</v>
      </c>
      <c r="E89" s="41">
        <v>2275.1999999999998</v>
      </c>
      <c r="F89" s="41">
        <f t="shared" si="78"/>
        <v>2400.3359999999998</v>
      </c>
      <c r="G89" s="96">
        <v>2134.6999999999998</v>
      </c>
      <c r="H89" s="96">
        <v>1374.1</v>
      </c>
      <c r="I89" s="96">
        <v>474.9</v>
      </c>
      <c r="J89" s="43">
        <f t="shared" si="79"/>
        <v>1849</v>
      </c>
      <c r="K89" s="43">
        <f t="shared" ref="K89:K94" si="85">-21.2-6.4</f>
        <v>-27.6</v>
      </c>
      <c r="L89" s="43">
        <f>110.5-27.6</f>
        <v>82.9</v>
      </c>
      <c r="M89" s="43"/>
      <c r="N89" s="43">
        <f t="shared" si="80"/>
        <v>2217.6</v>
      </c>
      <c r="O89" s="43">
        <f t="shared" si="81"/>
        <v>-182.73599999999988</v>
      </c>
      <c r="P89" s="43">
        <v>1473.8</v>
      </c>
      <c r="Q89" s="96">
        <v>1100</v>
      </c>
      <c r="R89" s="96">
        <v>373.8</v>
      </c>
      <c r="S89" s="96"/>
      <c r="T89" s="44">
        <f t="shared" si="82"/>
        <v>1473.8</v>
      </c>
      <c r="U89" s="125"/>
      <c r="V89" s="125"/>
      <c r="W89" s="46">
        <f t="shared" si="83"/>
        <v>0</v>
      </c>
      <c r="X89" s="47">
        <v>4</v>
      </c>
      <c r="Y89" s="48">
        <v>5.15</v>
      </c>
      <c r="Z89" s="48">
        <v>4</v>
      </c>
      <c r="AA89" s="48">
        <v>-0.15</v>
      </c>
      <c r="AB89" s="48"/>
      <c r="AC89" s="49">
        <f t="shared" si="84"/>
        <v>0</v>
      </c>
      <c r="AD89" s="50">
        <f t="shared" si="72"/>
        <v>4</v>
      </c>
      <c r="AE89" s="51">
        <f t="shared" si="73"/>
        <v>0</v>
      </c>
    </row>
    <row r="90" spans="1:31" ht="16.5" customHeight="1" x14ac:dyDescent="0.25">
      <c r="A90" s="113"/>
      <c r="B90" s="122"/>
      <c r="C90" s="95" t="s">
        <v>103</v>
      </c>
      <c r="D90" s="40">
        <v>1.3109999999999999</v>
      </c>
      <c r="E90" s="41">
        <v>2135.1999999999998</v>
      </c>
      <c r="F90" s="41">
        <f t="shared" si="78"/>
        <v>2799.2471999999998</v>
      </c>
      <c r="G90" s="96">
        <v>2492.1</v>
      </c>
      <c r="H90" s="96">
        <v>1588.4</v>
      </c>
      <c r="I90" s="96">
        <v>496.2</v>
      </c>
      <c r="J90" s="43">
        <f t="shared" si="79"/>
        <v>2084.6</v>
      </c>
      <c r="K90" s="43">
        <f t="shared" si="85"/>
        <v>-27.6</v>
      </c>
      <c r="L90" s="43">
        <f>138.6-27.6</f>
        <v>111</v>
      </c>
      <c r="M90" s="43"/>
      <c r="N90" s="43">
        <f t="shared" si="80"/>
        <v>2603.1</v>
      </c>
      <c r="O90" s="43">
        <f t="shared" si="81"/>
        <v>-196.14719999999988</v>
      </c>
      <c r="P90" s="43">
        <v>1441.8</v>
      </c>
      <c r="Q90" s="96">
        <v>1113.2</v>
      </c>
      <c r="R90" s="96">
        <v>328.6</v>
      </c>
      <c r="S90" s="96"/>
      <c r="T90" s="44">
        <f t="shared" si="82"/>
        <v>1441.8</v>
      </c>
      <c r="U90" s="125"/>
      <c r="V90" s="125"/>
      <c r="W90" s="46">
        <f t="shared" si="83"/>
        <v>0</v>
      </c>
      <c r="X90" s="47">
        <v>4</v>
      </c>
      <c r="Y90" s="48">
        <v>6.65</v>
      </c>
      <c r="Z90" s="48">
        <v>4</v>
      </c>
      <c r="AA90" s="48">
        <v>-0.15</v>
      </c>
      <c r="AB90" s="48"/>
      <c r="AC90" s="49">
        <f t="shared" si="84"/>
        <v>0</v>
      </c>
      <c r="AD90" s="50">
        <f t="shared" si="72"/>
        <v>4</v>
      </c>
      <c r="AE90" s="51">
        <f t="shared" si="73"/>
        <v>0</v>
      </c>
    </row>
    <row r="91" spans="1:31" ht="16.5" customHeight="1" x14ac:dyDescent="0.25">
      <c r="A91" s="113"/>
      <c r="B91" s="122"/>
      <c r="C91" s="99" t="s">
        <v>104</v>
      </c>
      <c r="D91" s="40">
        <v>0.623</v>
      </c>
      <c r="E91" s="41">
        <v>2280.6</v>
      </c>
      <c r="F91" s="41">
        <f t="shared" si="78"/>
        <v>1420.8137999999999</v>
      </c>
      <c r="G91" s="96">
        <v>1349.9</v>
      </c>
      <c r="H91" s="96">
        <v>944.1</v>
      </c>
      <c r="I91" s="96">
        <v>284.10000000000002</v>
      </c>
      <c r="J91" s="43">
        <f t="shared" si="79"/>
        <v>1228.2</v>
      </c>
      <c r="K91" s="43">
        <f t="shared" si="85"/>
        <v>-27.6</v>
      </c>
      <c r="L91" s="43">
        <f>10.5-27.6</f>
        <v>-17.100000000000001</v>
      </c>
      <c r="M91" s="43"/>
      <c r="N91" s="43">
        <f t="shared" si="80"/>
        <v>1332.8000000000002</v>
      </c>
      <c r="O91" s="43">
        <f t="shared" si="81"/>
        <v>-88.013799999999719</v>
      </c>
      <c r="P91" s="43">
        <v>706</v>
      </c>
      <c r="Q91" s="96">
        <v>542.20000000000005</v>
      </c>
      <c r="R91" s="96">
        <v>163.80000000000001</v>
      </c>
      <c r="S91" s="96"/>
      <c r="T91" s="44">
        <f t="shared" si="82"/>
        <v>706</v>
      </c>
      <c r="U91" s="125"/>
      <c r="V91" s="125"/>
      <c r="W91" s="46">
        <f t="shared" si="83"/>
        <v>0</v>
      </c>
      <c r="X91" s="47">
        <v>3</v>
      </c>
      <c r="Y91" s="48">
        <v>5.15</v>
      </c>
      <c r="Z91" s="48">
        <v>2.5</v>
      </c>
      <c r="AA91" s="48">
        <v>-0.15</v>
      </c>
      <c r="AB91" s="48"/>
      <c r="AC91" s="49">
        <f t="shared" si="84"/>
        <v>-0.5</v>
      </c>
      <c r="AD91" s="50">
        <f t="shared" si="72"/>
        <v>2.5</v>
      </c>
      <c r="AE91" s="51">
        <f t="shared" si="73"/>
        <v>-0.5</v>
      </c>
    </row>
    <row r="92" spans="1:31" ht="16.5" customHeight="1" x14ac:dyDescent="0.25">
      <c r="A92" s="113"/>
      <c r="B92" s="122"/>
      <c r="C92" s="95" t="s">
        <v>105</v>
      </c>
      <c r="D92" s="40">
        <v>1.752</v>
      </c>
      <c r="E92" s="41">
        <v>1525</v>
      </c>
      <c r="F92" s="41">
        <f t="shared" si="78"/>
        <v>2671.8</v>
      </c>
      <c r="G92" s="96">
        <v>2578.4</v>
      </c>
      <c r="H92" s="96">
        <v>1650.4</v>
      </c>
      <c r="I92" s="96">
        <v>496</v>
      </c>
      <c r="J92" s="43">
        <f t="shared" si="79"/>
        <v>2146.4</v>
      </c>
      <c r="K92" s="43">
        <f t="shared" si="85"/>
        <v>-27.6</v>
      </c>
      <c r="L92" s="43">
        <f>-27.6+121</f>
        <v>93.4</v>
      </c>
      <c r="M92" s="43"/>
      <c r="N92" s="43">
        <f t="shared" si="80"/>
        <v>2671.8</v>
      </c>
      <c r="O92" s="43">
        <f t="shared" si="81"/>
        <v>0</v>
      </c>
      <c r="P92" s="43">
        <v>1726.6</v>
      </c>
      <c r="Q92" s="96">
        <v>1330.4</v>
      </c>
      <c r="R92" s="96">
        <v>396.2</v>
      </c>
      <c r="S92" s="96"/>
      <c r="T92" s="44">
        <f t="shared" si="82"/>
        <v>1726.6</v>
      </c>
      <c r="U92" s="125"/>
      <c r="V92" s="125"/>
      <c r="W92" s="46">
        <f t="shared" si="83"/>
        <v>0</v>
      </c>
      <c r="X92" s="47">
        <v>5</v>
      </c>
      <c r="Y92" s="48">
        <v>6.65</v>
      </c>
      <c r="Z92" s="48">
        <v>5</v>
      </c>
      <c r="AA92" s="48">
        <v>-0.15</v>
      </c>
      <c r="AB92" s="48"/>
      <c r="AC92" s="49">
        <f t="shared" si="84"/>
        <v>0</v>
      </c>
      <c r="AD92" s="50">
        <f t="shared" si="72"/>
        <v>5</v>
      </c>
      <c r="AE92" s="51">
        <f t="shared" si="73"/>
        <v>0</v>
      </c>
    </row>
    <row r="93" spans="1:31" ht="16.5" customHeight="1" x14ac:dyDescent="0.25">
      <c r="A93" s="113"/>
      <c r="B93" s="122"/>
      <c r="C93" s="95" t="s">
        <v>106</v>
      </c>
      <c r="D93" s="40">
        <v>3.109</v>
      </c>
      <c r="E93" s="41">
        <v>1265</v>
      </c>
      <c r="F93" s="41">
        <f t="shared" si="78"/>
        <v>3932.8849999999998</v>
      </c>
      <c r="G93" s="96">
        <v>3783.1</v>
      </c>
      <c r="H93" s="96">
        <v>2535.6999999999998</v>
      </c>
      <c r="I93" s="96">
        <v>767.5</v>
      </c>
      <c r="J93" s="43">
        <f t="shared" si="79"/>
        <v>3303.2</v>
      </c>
      <c r="K93" s="43">
        <f t="shared" si="85"/>
        <v>-27.6</v>
      </c>
      <c r="L93" s="43">
        <f>174.9-27.6</f>
        <v>147.30000000000001</v>
      </c>
      <c r="M93" s="43"/>
      <c r="N93" s="43">
        <f t="shared" si="80"/>
        <v>3930.4</v>
      </c>
      <c r="O93" s="43">
        <f t="shared" si="81"/>
        <v>-2.4849999999996726</v>
      </c>
      <c r="P93" s="43">
        <v>2120</v>
      </c>
      <c r="Q93" s="96">
        <v>1622.3</v>
      </c>
      <c r="R93" s="96">
        <v>497.7</v>
      </c>
      <c r="S93" s="96"/>
      <c r="T93" s="44">
        <f t="shared" si="82"/>
        <v>2120</v>
      </c>
      <c r="U93" s="125"/>
      <c r="V93" s="125"/>
      <c r="W93" s="46">
        <f t="shared" si="83"/>
        <v>0</v>
      </c>
      <c r="X93" s="47">
        <v>5</v>
      </c>
      <c r="Y93" s="48">
        <v>10.95</v>
      </c>
      <c r="Z93" s="48">
        <v>5</v>
      </c>
      <c r="AA93" s="48">
        <v>-0.15</v>
      </c>
      <c r="AB93" s="48"/>
      <c r="AC93" s="49">
        <f t="shared" si="84"/>
        <v>0</v>
      </c>
      <c r="AD93" s="50">
        <f t="shared" si="72"/>
        <v>5</v>
      </c>
      <c r="AE93" s="51">
        <f t="shared" si="73"/>
        <v>0</v>
      </c>
    </row>
    <row r="94" spans="1:31" ht="15.75" x14ac:dyDescent="0.25">
      <c r="A94" s="113"/>
      <c r="B94" s="122"/>
      <c r="C94" s="95" t="s">
        <v>107</v>
      </c>
      <c r="D94" s="40">
        <v>1.252</v>
      </c>
      <c r="E94" s="41">
        <v>1829.1</v>
      </c>
      <c r="F94" s="41">
        <f t="shared" si="78"/>
        <v>2290.0331999999999</v>
      </c>
      <c r="G94" s="96">
        <v>2063.6</v>
      </c>
      <c r="H94" s="96">
        <v>1397.4</v>
      </c>
      <c r="I94" s="96">
        <v>416.3</v>
      </c>
      <c r="J94" s="43">
        <f t="shared" si="79"/>
        <v>1813.7</v>
      </c>
      <c r="K94" s="43">
        <f t="shared" si="85"/>
        <v>-27.6</v>
      </c>
      <c r="L94" s="43">
        <f>110.5-27.6</f>
        <v>82.9</v>
      </c>
      <c r="M94" s="43"/>
      <c r="N94" s="43">
        <f t="shared" si="80"/>
        <v>2146.5</v>
      </c>
      <c r="O94" s="43">
        <f t="shared" si="81"/>
        <v>-143.53319999999985</v>
      </c>
      <c r="P94" s="43">
        <v>1177.0999999999999</v>
      </c>
      <c r="Q94" s="96">
        <v>904.7</v>
      </c>
      <c r="R94" s="96">
        <v>272.39999999999998</v>
      </c>
      <c r="S94" s="96"/>
      <c r="T94" s="44">
        <f t="shared" si="82"/>
        <v>1177.0999999999999</v>
      </c>
      <c r="U94" s="125"/>
      <c r="V94" s="125"/>
      <c r="W94" s="46">
        <f t="shared" si="83"/>
        <v>0</v>
      </c>
      <c r="X94" s="47">
        <v>4</v>
      </c>
      <c r="Y94" s="48">
        <v>5.65</v>
      </c>
      <c r="Z94" s="48">
        <v>3</v>
      </c>
      <c r="AA94" s="48">
        <v>-0.15</v>
      </c>
      <c r="AB94" s="48"/>
      <c r="AC94" s="49">
        <f t="shared" si="84"/>
        <v>-1</v>
      </c>
      <c r="AD94" s="50">
        <f t="shared" si="72"/>
        <v>3</v>
      </c>
      <c r="AE94" s="51">
        <f t="shared" si="73"/>
        <v>-1</v>
      </c>
    </row>
    <row r="95" spans="1:31" ht="16.5" thickBot="1" x14ac:dyDescent="0.3">
      <c r="A95" s="113"/>
      <c r="B95" s="126"/>
      <c r="C95" s="127" t="s">
        <v>65</v>
      </c>
      <c r="D95" s="128">
        <f t="shared" ref="D95" si="86">ROUND(SUM(D88:D94),3)</f>
        <v>21.741</v>
      </c>
      <c r="E95" s="58"/>
      <c r="F95" s="58"/>
      <c r="G95" s="129">
        <f t="shared" ref="G95:W95" si="87">ROUND(SUM(G88:G94),3)</f>
        <v>25943.3</v>
      </c>
      <c r="H95" s="129">
        <f t="shared" si="87"/>
        <v>16144.5</v>
      </c>
      <c r="I95" s="129">
        <f t="shared" si="87"/>
        <v>5050.7</v>
      </c>
      <c r="J95" s="129">
        <f t="shared" si="87"/>
        <v>21195.200000000001</v>
      </c>
      <c r="K95" s="129">
        <f t="shared" si="87"/>
        <v>135.30000000000001</v>
      </c>
      <c r="L95" s="129">
        <f t="shared" si="87"/>
        <v>1381.7</v>
      </c>
      <c r="M95" s="129"/>
      <c r="N95" s="129">
        <f t="shared" si="87"/>
        <v>27325</v>
      </c>
      <c r="O95" s="60"/>
      <c r="P95" s="129">
        <f t="shared" ref="P95:T95" si="88">ROUND(SUM(P88:P94),3)</f>
        <v>14789.1</v>
      </c>
      <c r="Q95" s="129">
        <f t="shared" si="88"/>
        <v>11356.5</v>
      </c>
      <c r="R95" s="129">
        <f t="shared" si="88"/>
        <v>3432.6</v>
      </c>
      <c r="S95" s="129">
        <f t="shared" si="88"/>
        <v>0</v>
      </c>
      <c r="T95" s="129">
        <f t="shared" si="88"/>
        <v>14789.1</v>
      </c>
      <c r="U95" s="129">
        <f t="shared" si="87"/>
        <v>0</v>
      </c>
      <c r="V95" s="129">
        <f t="shared" si="87"/>
        <v>0</v>
      </c>
      <c r="W95" s="130">
        <f t="shared" si="87"/>
        <v>0</v>
      </c>
      <c r="X95" s="131"/>
      <c r="Y95" s="129">
        <f t="shared" ref="Y95:AB95" si="89">ROUND(SUM(Y88:Y94),3)</f>
        <v>64.7</v>
      </c>
      <c r="Z95" s="129">
        <f t="shared" si="89"/>
        <v>36.5</v>
      </c>
      <c r="AA95" s="129">
        <f t="shared" si="89"/>
        <v>0.6</v>
      </c>
      <c r="AB95" s="129">
        <f t="shared" si="89"/>
        <v>0</v>
      </c>
      <c r="AC95" s="65"/>
      <c r="AD95" s="67">
        <f t="shared" si="72"/>
        <v>36.5</v>
      </c>
      <c r="AE95" s="68"/>
    </row>
    <row r="96" spans="1:31" ht="15.75" x14ac:dyDescent="0.25">
      <c r="A96" s="113"/>
      <c r="B96" s="155" t="s">
        <v>108</v>
      </c>
      <c r="C96" s="132" t="s">
        <v>109</v>
      </c>
      <c r="D96" s="156">
        <v>8.3659999999999997</v>
      </c>
      <c r="E96" s="84"/>
      <c r="F96" s="84">
        <v>0</v>
      </c>
      <c r="G96" s="157"/>
      <c r="H96" s="157"/>
      <c r="I96" s="157"/>
      <c r="J96" s="157"/>
      <c r="K96" s="157"/>
      <c r="L96" s="157"/>
      <c r="M96" s="157"/>
      <c r="N96" s="157">
        <v>0</v>
      </c>
      <c r="O96" s="43">
        <f t="shared" ref="O96:O101" si="90">N96-F96</f>
        <v>0</v>
      </c>
      <c r="P96" s="157"/>
      <c r="Q96" s="157"/>
      <c r="R96" s="157"/>
      <c r="S96" s="157"/>
      <c r="T96" s="157"/>
      <c r="U96" s="157"/>
      <c r="V96" s="157"/>
      <c r="W96" s="158"/>
      <c r="X96" s="157">
        <v>0</v>
      </c>
      <c r="Y96" s="157"/>
      <c r="Z96" s="157"/>
      <c r="AA96" s="157"/>
      <c r="AB96" s="157"/>
      <c r="AC96" s="157"/>
      <c r="AD96" s="157">
        <v>0</v>
      </c>
      <c r="AE96" s="159">
        <v>0</v>
      </c>
    </row>
    <row r="97" spans="1:31" ht="15.75" customHeight="1" x14ac:dyDescent="0.25">
      <c r="A97" s="113"/>
      <c r="B97" s="160"/>
      <c r="C97" s="123" t="s">
        <v>110</v>
      </c>
      <c r="D97" s="40">
        <v>1.5720000000000001</v>
      </c>
      <c r="E97" s="41">
        <v>1589.5</v>
      </c>
      <c r="F97" s="41">
        <f t="shared" si="78"/>
        <v>2498.694</v>
      </c>
      <c r="G97" s="96">
        <v>2566.8000000000002</v>
      </c>
      <c r="H97" s="96">
        <v>1653.6</v>
      </c>
      <c r="I97" s="96">
        <v>507.4</v>
      </c>
      <c r="J97" s="43">
        <f t="shared" ref="J97:J101" si="91">H97+I97</f>
        <v>2161</v>
      </c>
      <c r="K97" s="43">
        <f>-28.7-8.7</f>
        <v>-37.4</v>
      </c>
      <c r="L97" s="43">
        <f>-37.4</f>
        <v>-37.4</v>
      </c>
      <c r="M97" s="43">
        <v>125.5</v>
      </c>
      <c r="N97" s="43">
        <f>G97+L97-M97</f>
        <v>2403.9</v>
      </c>
      <c r="O97" s="43">
        <f t="shared" si="90"/>
        <v>-94.793999999999869</v>
      </c>
      <c r="P97" s="43">
        <v>1330.9</v>
      </c>
      <c r="Q97" s="96">
        <v>1037.4000000000001</v>
      </c>
      <c r="R97" s="96">
        <v>293.5</v>
      </c>
      <c r="S97" s="96">
        <f>-37.4</f>
        <v>-37.4</v>
      </c>
      <c r="T97" s="44">
        <f t="shared" ref="T97:T101" si="92">P97+S97</f>
        <v>1293.5</v>
      </c>
      <c r="U97" s="125"/>
      <c r="V97" s="125"/>
      <c r="W97" s="46">
        <f>U97+V97</f>
        <v>0</v>
      </c>
      <c r="X97" s="47">
        <v>4</v>
      </c>
      <c r="Y97" s="48">
        <v>8</v>
      </c>
      <c r="Z97" s="48">
        <v>3</v>
      </c>
      <c r="AA97" s="48">
        <v>-0.2</v>
      </c>
      <c r="AB97" s="48">
        <v>-0.2</v>
      </c>
      <c r="AC97" s="49">
        <f t="shared" ref="AC97:AC101" si="93">(Z97+AB97)-X97</f>
        <v>-1.2000000000000002</v>
      </c>
      <c r="AD97" s="50">
        <f t="shared" si="72"/>
        <v>2.8</v>
      </c>
      <c r="AE97" s="51">
        <f t="shared" si="73"/>
        <v>-1.2000000000000002</v>
      </c>
    </row>
    <row r="98" spans="1:31" ht="15.75" x14ac:dyDescent="0.25">
      <c r="A98" s="113"/>
      <c r="B98" s="160"/>
      <c r="C98" s="123" t="s">
        <v>111</v>
      </c>
      <c r="D98" s="40">
        <v>2.0019999999999998</v>
      </c>
      <c r="E98" s="41">
        <v>1387.6</v>
      </c>
      <c r="F98" s="41">
        <f t="shared" si="78"/>
        <v>2777.9751999999994</v>
      </c>
      <c r="G98" s="96">
        <v>2615.4</v>
      </c>
      <c r="H98" s="96">
        <v>1658</v>
      </c>
      <c r="I98" s="96">
        <v>527</v>
      </c>
      <c r="J98" s="43">
        <f t="shared" si="91"/>
        <v>2185</v>
      </c>
      <c r="K98" s="43">
        <f>-47.4-14.3</f>
        <v>-61.7</v>
      </c>
      <c r="L98" s="43">
        <f>-61.7</f>
        <v>-61.7</v>
      </c>
      <c r="M98" s="43"/>
      <c r="N98" s="43">
        <f>G98+L98</f>
        <v>2553.7000000000003</v>
      </c>
      <c r="O98" s="43">
        <f t="shared" si="90"/>
        <v>-224.27519999999913</v>
      </c>
      <c r="P98" s="43">
        <v>1994.6</v>
      </c>
      <c r="Q98" s="96">
        <v>1511.8</v>
      </c>
      <c r="R98" s="96">
        <v>482.8</v>
      </c>
      <c r="S98" s="96">
        <f>-61.7</f>
        <v>-61.7</v>
      </c>
      <c r="T98" s="44">
        <f t="shared" si="92"/>
        <v>1932.8999999999999</v>
      </c>
      <c r="U98" s="125"/>
      <c r="V98" s="125"/>
      <c r="W98" s="46">
        <f>U98+V98</f>
        <v>0</v>
      </c>
      <c r="X98" s="47">
        <v>5</v>
      </c>
      <c r="Y98" s="48">
        <v>6</v>
      </c>
      <c r="Z98" s="48">
        <v>5</v>
      </c>
      <c r="AA98" s="48">
        <v>-0.2</v>
      </c>
      <c r="AB98" s="48">
        <v>-0.2</v>
      </c>
      <c r="AC98" s="49">
        <f t="shared" si="93"/>
        <v>-0.20000000000000018</v>
      </c>
      <c r="AD98" s="50">
        <f t="shared" si="72"/>
        <v>4.8</v>
      </c>
      <c r="AE98" s="51">
        <f t="shared" si="73"/>
        <v>-0.20000000000000018</v>
      </c>
    </row>
    <row r="99" spans="1:31" ht="15.75" customHeight="1" x14ac:dyDescent="0.25">
      <c r="A99" s="113"/>
      <c r="B99" s="160"/>
      <c r="C99" s="123" t="s">
        <v>73</v>
      </c>
      <c r="D99" s="40">
        <v>1.248</v>
      </c>
      <c r="E99" s="41">
        <v>1437.3</v>
      </c>
      <c r="F99" s="41">
        <f t="shared" si="78"/>
        <v>1793.7503999999999</v>
      </c>
      <c r="G99" s="96">
        <v>1454.9</v>
      </c>
      <c r="H99" s="96">
        <v>998.3</v>
      </c>
      <c r="I99" s="96">
        <v>295.2</v>
      </c>
      <c r="J99" s="43">
        <f t="shared" si="91"/>
        <v>1293.5</v>
      </c>
      <c r="K99" s="43">
        <f>-24.2-7.3</f>
        <v>-31.5</v>
      </c>
      <c r="L99" s="43">
        <f>-31.5</f>
        <v>-31.5</v>
      </c>
      <c r="M99" s="43"/>
      <c r="N99" s="43">
        <f>G99+L99</f>
        <v>1423.4</v>
      </c>
      <c r="O99" s="43">
        <f t="shared" si="90"/>
        <v>-370.35039999999981</v>
      </c>
      <c r="P99" s="43">
        <v>1144.8</v>
      </c>
      <c r="Q99" s="96">
        <v>879.3</v>
      </c>
      <c r="R99" s="96">
        <v>265.5</v>
      </c>
      <c r="S99" s="96">
        <f>-31.5</f>
        <v>-31.5</v>
      </c>
      <c r="T99" s="44">
        <f t="shared" si="92"/>
        <v>1113.3</v>
      </c>
      <c r="U99" s="125"/>
      <c r="V99" s="125"/>
      <c r="W99" s="46">
        <f>U99+V99</f>
        <v>0</v>
      </c>
      <c r="X99" s="47">
        <v>4</v>
      </c>
      <c r="Y99" s="48">
        <v>5</v>
      </c>
      <c r="Z99" s="48">
        <v>3</v>
      </c>
      <c r="AA99" s="48">
        <v>-0.1</v>
      </c>
      <c r="AB99" s="48">
        <v>-0.1</v>
      </c>
      <c r="AC99" s="49">
        <f t="shared" si="93"/>
        <v>-1.1000000000000001</v>
      </c>
      <c r="AD99" s="50">
        <f t="shared" si="72"/>
        <v>2.9</v>
      </c>
      <c r="AE99" s="51">
        <f t="shared" si="73"/>
        <v>-1.1000000000000001</v>
      </c>
    </row>
    <row r="100" spans="1:31" ht="15.75" x14ac:dyDescent="0.25">
      <c r="A100" s="113"/>
      <c r="B100" s="160"/>
      <c r="C100" s="123" t="s">
        <v>112</v>
      </c>
      <c r="D100" s="40">
        <v>5.2519999999999998</v>
      </c>
      <c r="E100" s="41">
        <v>777.9</v>
      </c>
      <c r="F100" s="41">
        <f t="shared" si="78"/>
        <v>4085.5307999999995</v>
      </c>
      <c r="G100" s="96">
        <v>4126.3999999999996</v>
      </c>
      <c r="H100" s="96">
        <v>2519.4</v>
      </c>
      <c r="I100" s="96">
        <v>751.5</v>
      </c>
      <c r="J100" s="43">
        <f t="shared" si="91"/>
        <v>3270.9</v>
      </c>
      <c r="K100" s="43">
        <f>-90.2-27.2</f>
        <v>-117.4</v>
      </c>
      <c r="L100" s="43">
        <f>-117.4</f>
        <v>-117.4</v>
      </c>
      <c r="M100" s="43"/>
      <c r="N100" s="43">
        <f>G100+L100</f>
        <v>4008.9999999999995</v>
      </c>
      <c r="O100" s="43">
        <f t="shared" si="90"/>
        <v>-76.530799999999999</v>
      </c>
      <c r="P100" s="43">
        <v>2890.4</v>
      </c>
      <c r="Q100" s="96">
        <v>2225.3000000000002</v>
      </c>
      <c r="R100" s="96">
        <v>665.1</v>
      </c>
      <c r="S100" s="96">
        <f>-117.4</f>
        <v>-117.4</v>
      </c>
      <c r="T100" s="44">
        <f t="shared" si="92"/>
        <v>2773</v>
      </c>
      <c r="U100" s="125"/>
      <c r="V100" s="125"/>
      <c r="W100" s="46">
        <f>U100+V100</f>
        <v>0</v>
      </c>
      <c r="X100" s="47">
        <v>6</v>
      </c>
      <c r="Y100" s="48">
        <v>8</v>
      </c>
      <c r="Z100" s="48">
        <v>6</v>
      </c>
      <c r="AA100" s="48">
        <v>-0.4</v>
      </c>
      <c r="AB100" s="48">
        <v>-0.4</v>
      </c>
      <c r="AC100" s="49">
        <f t="shared" si="93"/>
        <v>-0.40000000000000036</v>
      </c>
      <c r="AD100" s="50">
        <f t="shared" si="72"/>
        <v>5.6</v>
      </c>
      <c r="AE100" s="51">
        <f t="shared" si="73"/>
        <v>-0.40000000000000036</v>
      </c>
    </row>
    <row r="101" spans="1:31" ht="15.75" x14ac:dyDescent="0.25">
      <c r="A101" s="113"/>
      <c r="B101" s="160"/>
      <c r="C101" s="123" t="s">
        <v>113</v>
      </c>
      <c r="D101" s="40">
        <v>1.6950000000000001</v>
      </c>
      <c r="E101" s="41">
        <v>1789</v>
      </c>
      <c r="F101" s="41">
        <f t="shared" si="78"/>
        <v>3032.355</v>
      </c>
      <c r="G101" s="96">
        <f>2769.7</f>
        <v>2769.7</v>
      </c>
      <c r="H101" s="96">
        <v>1750.5</v>
      </c>
      <c r="I101" s="96">
        <v>510.4</v>
      </c>
      <c r="J101" s="43">
        <f t="shared" si="91"/>
        <v>2260.9</v>
      </c>
      <c r="K101" s="43">
        <f>-27.7-8.4</f>
        <v>-36.1</v>
      </c>
      <c r="L101" s="43">
        <f>-36.1</f>
        <v>-36.1</v>
      </c>
      <c r="M101" s="43"/>
      <c r="N101" s="43">
        <f>G101+L101</f>
        <v>2733.6</v>
      </c>
      <c r="O101" s="43">
        <f t="shared" si="90"/>
        <v>-298.75500000000011</v>
      </c>
      <c r="P101" s="43">
        <v>1675.3</v>
      </c>
      <c r="Q101" s="96">
        <v>1300</v>
      </c>
      <c r="R101" s="96">
        <v>375.3</v>
      </c>
      <c r="S101" s="96">
        <f>-36.1</f>
        <v>-36.1</v>
      </c>
      <c r="T101" s="44">
        <f t="shared" si="92"/>
        <v>1639.2</v>
      </c>
      <c r="U101" s="125"/>
      <c r="V101" s="125"/>
      <c r="W101" s="46">
        <f>U101+V101</f>
        <v>0</v>
      </c>
      <c r="X101" s="47">
        <v>5</v>
      </c>
      <c r="Y101" s="48">
        <v>7</v>
      </c>
      <c r="Z101" s="48">
        <v>4</v>
      </c>
      <c r="AA101" s="48">
        <v>-0.1</v>
      </c>
      <c r="AB101" s="48">
        <v>-0.1</v>
      </c>
      <c r="AC101" s="49">
        <f t="shared" si="93"/>
        <v>-1.1000000000000001</v>
      </c>
      <c r="AD101" s="50">
        <f t="shared" si="72"/>
        <v>3.9</v>
      </c>
      <c r="AE101" s="51">
        <f t="shared" si="73"/>
        <v>-1.1000000000000001</v>
      </c>
    </row>
    <row r="102" spans="1:31" ht="16.5" thickBot="1" x14ac:dyDescent="0.3">
      <c r="A102" s="113"/>
      <c r="B102" s="161"/>
      <c r="C102" s="127" t="s">
        <v>65</v>
      </c>
      <c r="D102" s="150">
        <f>ROUND(SUM(D96:D101),3)</f>
        <v>20.135000000000002</v>
      </c>
      <c r="E102" s="58"/>
      <c r="F102" s="58"/>
      <c r="G102" s="67">
        <f t="shared" ref="G102:N102" si="94">ROUND(SUM(G97:G101),3)</f>
        <v>13533.2</v>
      </c>
      <c r="H102" s="67">
        <f t="shared" si="94"/>
        <v>8579.7999999999993</v>
      </c>
      <c r="I102" s="67">
        <f t="shared" si="94"/>
        <v>2591.5</v>
      </c>
      <c r="J102" s="67">
        <f t="shared" si="94"/>
        <v>11171.3</v>
      </c>
      <c r="K102" s="67">
        <f t="shared" si="94"/>
        <v>-284.10000000000002</v>
      </c>
      <c r="L102" s="67">
        <f t="shared" si="94"/>
        <v>-284.10000000000002</v>
      </c>
      <c r="M102" s="67"/>
      <c r="N102" s="67">
        <f t="shared" si="94"/>
        <v>13123.6</v>
      </c>
      <c r="O102" s="60"/>
      <c r="P102" s="67">
        <f t="shared" ref="P102:T102" si="95">ROUND(SUM(P97:P101),3)</f>
        <v>9036</v>
      </c>
      <c r="Q102" s="67">
        <f t="shared" si="95"/>
        <v>6953.8</v>
      </c>
      <c r="R102" s="67">
        <f t="shared" si="95"/>
        <v>2082.1999999999998</v>
      </c>
      <c r="S102" s="67">
        <f t="shared" si="95"/>
        <v>-284.10000000000002</v>
      </c>
      <c r="T102" s="67">
        <f t="shared" si="95"/>
        <v>8751.9</v>
      </c>
      <c r="U102" s="67">
        <f>ROUND(SUM(U97:U101),3)</f>
        <v>0</v>
      </c>
      <c r="V102" s="67">
        <f>ROUND(SUM(V97:V101),3)</f>
        <v>0</v>
      </c>
      <c r="W102" s="151">
        <f>ROUND(SUM(W97:W101),3)</f>
        <v>0</v>
      </c>
      <c r="X102" s="152"/>
      <c r="Y102" s="67">
        <f t="shared" ref="Y102:AB102" si="96">ROUND(SUM(Y97:Y101),3)</f>
        <v>34</v>
      </c>
      <c r="Z102" s="67">
        <f t="shared" si="96"/>
        <v>21</v>
      </c>
      <c r="AA102" s="67">
        <f t="shared" si="96"/>
        <v>-1</v>
      </c>
      <c r="AB102" s="67">
        <f t="shared" si="96"/>
        <v>-1</v>
      </c>
      <c r="AC102" s="65"/>
      <c r="AD102" s="67">
        <f t="shared" si="72"/>
        <v>20</v>
      </c>
      <c r="AE102" s="68"/>
    </row>
    <row r="103" spans="1:31" ht="15.75" x14ac:dyDescent="0.25">
      <c r="A103" s="113"/>
      <c r="B103" s="118" t="s">
        <v>47</v>
      </c>
      <c r="C103" s="162" t="s">
        <v>114</v>
      </c>
      <c r="D103" s="83">
        <v>7.8369999999999997</v>
      </c>
      <c r="E103" s="84">
        <v>185.8</v>
      </c>
      <c r="F103" s="84">
        <f t="shared" si="78"/>
        <v>1456.1146000000001</v>
      </c>
      <c r="G103" s="120">
        <v>631.4</v>
      </c>
      <c r="H103" s="120"/>
      <c r="I103" s="120"/>
      <c r="J103" s="86"/>
      <c r="K103" s="86"/>
      <c r="L103" s="86"/>
      <c r="M103" s="86"/>
      <c r="N103" s="86">
        <f>G103+L103</f>
        <v>631.4</v>
      </c>
      <c r="O103" s="86">
        <f>N103-F103</f>
        <v>-824.71460000000013</v>
      </c>
      <c r="P103" s="86"/>
      <c r="Q103" s="120"/>
      <c r="R103" s="120"/>
      <c r="S103" s="120"/>
      <c r="T103" s="142"/>
      <c r="U103" s="121"/>
      <c r="V103" s="121"/>
      <c r="W103" s="89">
        <f>U103+V103</f>
        <v>0</v>
      </c>
      <c r="X103" s="90">
        <v>1</v>
      </c>
      <c r="Y103" s="32"/>
      <c r="Z103" s="32"/>
      <c r="AA103" s="32"/>
      <c r="AB103" s="32"/>
      <c r="AC103" s="91">
        <f t="shared" ref="AC103:AC107" si="97">(Z103+AB103)-X103</f>
        <v>-1</v>
      </c>
      <c r="AD103" s="35">
        <f t="shared" si="72"/>
        <v>0</v>
      </c>
      <c r="AE103" s="92">
        <f t="shared" si="73"/>
        <v>-1</v>
      </c>
    </row>
    <row r="104" spans="1:31" ht="15.75" x14ac:dyDescent="0.25">
      <c r="A104" s="113"/>
      <c r="B104" s="122"/>
      <c r="C104" s="163" t="s">
        <v>115</v>
      </c>
      <c r="D104" s="40">
        <v>2.96</v>
      </c>
      <c r="E104" s="41">
        <v>1897.4</v>
      </c>
      <c r="F104" s="41">
        <f t="shared" si="78"/>
        <v>5616.3040000000001</v>
      </c>
      <c r="G104" s="96">
        <v>4929.8999999999996</v>
      </c>
      <c r="H104" s="96">
        <v>2764.5</v>
      </c>
      <c r="I104" s="96">
        <v>846.3</v>
      </c>
      <c r="J104" s="43">
        <v>3550.2</v>
      </c>
      <c r="K104" s="43"/>
      <c r="L104" s="43">
        <v>0</v>
      </c>
      <c r="M104" s="43"/>
      <c r="N104" s="43">
        <f>G104+L104</f>
        <v>4929.8999999999996</v>
      </c>
      <c r="O104" s="43">
        <f>N104-F104</f>
        <v>-686.40400000000045</v>
      </c>
      <c r="P104" s="43">
        <v>2372.1999999999998</v>
      </c>
      <c r="Q104" s="96">
        <v>1822</v>
      </c>
      <c r="R104" s="96">
        <v>550.20000000000005</v>
      </c>
      <c r="S104" s="96"/>
      <c r="T104" s="44">
        <f t="shared" ref="T104:T107" si="98">P104+S104</f>
        <v>2372.1999999999998</v>
      </c>
      <c r="U104" s="125"/>
      <c r="V104" s="125"/>
      <c r="W104" s="46">
        <f>U104+V104</f>
        <v>0</v>
      </c>
      <c r="X104" s="47">
        <v>5</v>
      </c>
      <c r="Y104" s="48">
        <v>9</v>
      </c>
      <c r="Z104" s="48">
        <v>5</v>
      </c>
      <c r="AA104" s="48"/>
      <c r="AB104" s="48"/>
      <c r="AC104" s="49">
        <f t="shared" si="97"/>
        <v>0</v>
      </c>
      <c r="AD104" s="50">
        <f t="shared" si="72"/>
        <v>5</v>
      </c>
      <c r="AE104" s="51">
        <f t="shared" si="73"/>
        <v>0</v>
      </c>
    </row>
    <row r="105" spans="1:31" ht="15.75" x14ac:dyDescent="0.25">
      <c r="A105" s="113"/>
      <c r="B105" s="122"/>
      <c r="C105" s="123" t="s">
        <v>116</v>
      </c>
      <c r="D105" s="40">
        <v>3.371</v>
      </c>
      <c r="E105" s="41">
        <v>861.2</v>
      </c>
      <c r="F105" s="41">
        <f t="shared" si="78"/>
        <v>2903.1052</v>
      </c>
      <c r="G105" s="96">
        <v>2873.6</v>
      </c>
      <c r="H105" s="96">
        <v>1833.8</v>
      </c>
      <c r="I105" s="96">
        <v>553.70000000000005</v>
      </c>
      <c r="J105" s="43">
        <f t="shared" ref="J105:J107" si="99">H105+I105</f>
        <v>2387.5</v>
      </c>
      <c r="K105" s="43"/>
      <c r="L105" s="43">
        <v>29.5</v>
      </c>
      <c r="M105" s="43"/>
      <c r="N105" s="43">
        <f>G105+L105</f>
        <v>2903.1</v>
      </c>
      <c r="O105" s="43">
        <f>N105-F105</f>
        <v>-5.2000000000589353E-3</v>
      </c>
      <c r="P105" s="43">
        <v>1811</v>
      </c>
      <c r="Q105" s="96">
        <v>1391</v>
      </c>
      <c r="R105" s="96">
        <v>420</v>
      </c>
      <c r="S105" s="96"/>
      <c r="T105" s="44">
        <f t="shared" si="98"/>
        <v>1811</v>
      </c>
      <c r="U105" s="125"/>
      <c r="V105" s="125"/>
      <c r="W105" s="46">
        <f>U105+V105</f>
        <v>0</v>
      </c>
      <c r="X105" s="47">
        <v>5</v>
      </c>
      <c r="Y105" s="48">
        <v>7</v>
      </c>
      <c r="Z105" s="48">
        <v>5</v>
      </c>
      <c r="AA105" s="48"/>
      <c r="AB105" s="48"/>
      <c r="AC105" s="49">
        <f t="shared" si="97"/>
        <v>0</v>
      </c>
      <c r="AD105" s="50">
        <f t="shared" si="72"/>
        <v>5</v>
      </c>
      <c r="AE105" s="51">
        <f t="shared" si="73"/>
        <v>0</v>
      </c>
    </row>
    <row r="106" spans="1:31" ht="15.75" x14ac:dyDescent="0.25">
      <c r="A106" s="113"/>
      <c r="B106" s="122"/>
      <c r="C106" s="164" t="s">
        <v>117</v>
      </c>
      <c r="D106" s="40">
        <v>1.456</v>
      </c>
      <c r="E106" s="41">
        <v>2763.1</v>
      </c>
      <c r="F106" s="41">
        <f t="shared" si="78"/>
        <v>4023.0735999999997</v>
      </c>
      <c r="G106" s="96">
        <v>3301.4</v>
      </c>
      <c r="H106" s="96">
        <v>2119.1</v>
      </c>
      <c r="I106" s="96">
        <v>646.79999999999995</v>
      </c>
      <c r="J106" s="43">
        <f t="shared" si="99"/>
        <v>2765.8999999999996</v>
      </c>
      <c r="K106" s="43"/>
      <c r="L106" s="43">
        <v>12.8</v>
      </c>
      <c r="M106" s="43"/>
      <c r="N106" s="43">
        <f>G106+L106</f>
        <v>3314.2000000000003</v>
      </c>
      <c r="O106" s="43">
        <f>N106-F106</f>
        <v>-708.87359999999944</v>
      </c>
      <c r="P106" s="43">
        <v>2158.6999999999998</v>
      </c>
      <c r="Q106" s="96">
        <v>1664.9</v>
      </c>
      <c r="R106" s="96">
        <v>493.8</v>
      </c>
      <c r="S106" s="96"/>
      <c r="T106" s="44">
        <f t="shared" si="98"/>
        <v>2158.6999999999998</v>
      </c>
      <c r="U106" s="125"/>
      <c r="V106" s="125"/>
      <c r="W106" s="46">
        <f>U106+V106</f>
        <v>0</v>
      </c>
      <c r="X106" s="47">
        <v>5</v>
      </c>
      <c r="Y106" s="48">
        <v>7.4</v>
      </c>
      <c r="Z106" s="48">
        <v>5</v>
      </c>
      <c r="AA106" s="48"/>
      <c r="AB106" s="48"/>
      <c r="AC106" s="49">
        <f t="shared" si="97"/>
        <v>0</v>
      </c>
      <c r="AD106" s="50">
        <f t="shared" si="72"/>
        <v>5</v>
      </c>
      <c r="AE106" s="51">
        <f t="shared" si="73"/>
        <v>0</v>
      </c>
    </row>
    <row r="107" spans="1:31" ht="15.75" x14ac:dyDescent="0.25">
      <c r="A107" s="113"/>
      <c r="B107" s="122"/>
      <c r="C107" s="163" t="s">
        <v>118</v>
      </c>
      <c r="D107" s="40">
        <v>3.0630000000000002</v>
      </c>
      <c r="E107" s="41">
        <v>1528.9</v>
      </c>
      <c r="F107" s="41">
        <f t="shared" si="78"/>
        <v>4683.0207000000009</v>
      </c>
      <c r="G107" s="96">
        <v>3512.9</v>
      </c>
      <c r="H107" s="96">
        <v>2438.1</v>
      </c>
      <c r="I107" s="96">
        <v>618</v>
      </c>
      <c r="J107" s="43">
        <f t="shared" si="99"/>
        <v>3056.1</v>
      </c>
      <c r="K107" s="43"/>
      <c r="L107" s="43"/>
      <c r="M107" s="43"/>
      <c r="N107" s="43">
        <f>G107+L107</f>
        <v>3512.9</v>
      </c>
      <c r="O107" s="43">
        <f>N107-F107</f>
        <v>-1170.1207000000009</v>
      </c>
      <c r="P107" s="43">
        <v>2111.6999999999998</v>
      </c>
      <c r="Q107" s="96">
        <v>1696</v>
      </c>
      <c r="R107" s="96">
        <v>415.8</v>
      </c>
      <c r="S107" s="96"/>
      <c r="T107" s="44">
        <f t="shared" si="98"/>
        <v>2111.6999999999998</v>
      </c>
      <c r="U107" s="125"/>
      <c r="V107" s="125"/>
      <c r="W107" s="46">
        <f>U107+V107</f>
        <v>0</v>
      </c>
      <c r="X107" s="47">
        <v>5</v>
      </c>
      <c r="Y107" s="48">
        <v>10</v>
      </c>
      <c r="Z107" s="48">
        <v>5</v>
      </c>
      <c r="AA107" s="48"/>
      <c r="AB107" s="48"/>
      <c r="AC107" s="49">
        <f t="shared" si="97"/>
        <v>0</v>
      </c>
      <c r="AD107" s="50">
        <f t="shared" si="72"/>
        <v>5</v>
      </c>
      <c r="AE107" s="51">
        <f t="shared" si="73"/>
        <v>0</v>
      </c>
    </row>
    <row r="108" spans="1:31" ht="16.5" thickBot="1" x14ac:dyDescent="0.3">
      <c r="A108" s="113"/>
      <c r="B108" s="126"/>
      <c r="C108" s="127" t="s">
        <v>65</v>
      </c>
      <c r="D108" s="150">
        <f>ROUND(SUM(D103:D107),3)</f>
        <v>18.687000000000001</v>
      </c>
      <c r="E108" s="58"/>
      <c r="F108" s="58"/>
      <c r="G108" s="67">
        <f t="shared" ref="G108:N108" si="100">ROUND(SUM(G103:G107),3)</f>
        <v>15249.2</v>
      </c>
      <c r="H108" s="67">
        <f t="shared" si="100"/>
        <v>9155.5</v>
      </c>
      <c r="I108" s="67">
        <f t="shared" si="100"/>
        <v>2664.8</v>
      </c>
      <c r="J108" s="67">
        <f t="shared" si="100"/>
        <v>11759.7</v>
      </c>
      <c r="K108" s="67">
        <f t="shared" si="100"/>
        <v>0</v>
      </c>
      <c r="L108" s="67">
        <f t="shared" si="100"/>
        <v>42.3</v>
      </c>
      <c r="M108" s="67"/>
      <c r="N108" s="67">
        <f t="shared" si="100"/>
        <v>15291.5</v>
      </c>
      <c r="O108" s="60"/>
      <c r="P108" s="67">
        <f t="shared" ref="P108:T108" si="101">ROUND(SUM(P103:P107),3)</f>
        <v>8453.6</v>
      </c>
      <c r="Q108" s="67">
        <f t="shared" si="101"/>
        <v>6573.9</v>
      </c>
      <c r="R108" s="67">
        <f t="shared" si="101"/>
        <v>1879.8</v>
      </c>
      <c r="S108" s="67">
        <f t="shared" si="101"/>
        <v>0</v>
      </c>
      <c r="T108" s="67">
        <f t="shared" si="101"/>
        <v>8453.6</v>
      </c>
      <c r="U108" s="67"/>
      <c r="V108" s="67">
        <f>ROUND(SUM(V103:V107),3)</f>
        <v>0</v>
      </c>
      <c r="W108" s="151">
        <f>ROUND(SUM(W103:W107),3)</f>
        <v>0</v>
      </c>
      <c r="X108" s="152"/>
      <c r="Y108" s="67">
        <f t="shared" ref="Y108:AB108" si="102">ROUND(SUM(Y103:Y107),3)</f>
        <v>33.4</v>
      </c>
      <c r="Z108" s="67">
        <f t="shared" si="102"/>
        <v>20</v>
      </c>
      <c r="AA108" s="67">
        <f t="shared" si="102"/>
        <v>0</v>
      </c>
      <c r="AB108" s="67">
        <f t="shared" si="102"/>
        <v>0</v>
      </c>
      <c r="AC108" s="65"/>
      <c r="AD108" s="67">
        <f t="shared" si="72"/>
        <v>20</v>
      </c>
      <c r="AE108" s="68"/>
    </row>
    <row r="109" spans="1:31" ht="15.75" x14ac:dyDescent="0.25">
      <c r="A109" s="113"/>
      <c r="B109" s="165" t="s">
        <v>48</v>
      </c>
      <c r="C109" s="119" t="s">
        <v>119</v>
      </c>
      <c r="D109" s="83">
        <v>2.762</v>
      </c>
      <c r="E109" s="84">
        <v>0</v>
      </c>
      <c r="F109" s="84">
        <v>0</v>
      </c>
      <c r="G109" s="120"/>
      <c r="H109" s="120"/>
      <c r="I109" s="120"/>
      <c r="J109" s="86"/>
      <c r="K109" s="86"/>
      <c r="L109" s="86"/>
      <c r="M109" s="86"/>
      <c r="N109" s="86">
        <v>0</v>
      </c>
      <c r="O109" s="86">
        <v>0</v>
      </c>
      <c r="P109" s="86"/>
      <c r="Q109" s="120"/>
      <c r="R109" s="120"/>
      <c r="S109" s="120"/>
      <c r="T109" s="142"/>
      <c r="U109" s="121"/>
      <c r="V109" s="121"/>
      <c r="W109" s="89">
        <f>U109+V109</f>
        <v>0</v>
      </c>
      <c r="X109" s="90">
        <v>0</v>
      </c>
      <c r="Y109" s="32"/>
      <c r="Z109" s="32"/>
      <c r="AA109" s="32"/>
      <c r="AB109" s="32"/>
      <c r="AC109" s="91"/>
      <c r="AD109" s="35">
        <f t="shared" si="72"/>
        <v>0</v>
      </c>
      <c r="AE109" s="92">
        <f t="shared" si="73"/>
        <v>0</v>
      </c>
    </row>
    <row r="110" spans="1:31" ht="15.75" x14ac:dyDescent="0.25">
      <c r="A110" s="113"/>
      <c r="B110" s="166"/>
      <c r="C110" s="123" t="s">
        <v>120</v>
      </c>
      <c r="D110" s="40">
        <v>0.94499999999999995</v>
      </c>
      <c r="E110" s="41">
        <v>1997.5</v>
      </c>
      <c r="F110" s="41">
        <f t="shared" si="78"/>
        <v>1887.6374999999998</v>
      </c>
      <c r="G110" s="96">
        <v>1864.8</v>
      </c>
      <c r="H110" s="96">
        <v>1125.7</v>
      </c>
      <c r="I110" s="96">
        <v>334.8</v>
      </c>
      <c r="J110" s="43">
        <f>H110+I110</f>
        <v>1460.5</v>
      </c>
      <c r="K110" s="43">
        <f>17.5+5.3</f>
        <v>22.8</v>
      </c>
      <c r="L110" s="43">
        <f>22.8</f>
        <v>22.8</v>
      </c>
      <c r="M110" s="43"/>
      <c r="N110" s="43">
        <f>G110+L110</f>
        <v>1887.6</v>
      </c>
      <c r="O110" s="43">
        <f>N110-F110</f>
        <v>-3.7499999999909051E-2</v>
      </c>
      <c r="P110" s="43">
        <v>1152.4000000000001</v>
      </c>
      <c r="Q110" s="96">
        <v>888.7</v>
      </c>
      <c r="R110" s="96">
        <v>263.7</v>
      </c>
      <c r="S110" s="96"/>
      <c r="T110" s="44">
        <f t="shared" ref="T110:T113" si="103">P110+S110</f>
        <v>1152.4000000000001</v>
      </c>
      <c r="U110" s="125"/>
      <c r="V110" s="125"/>
      <c r="W110" s="46">
        <f>U110+V110</f>
        <v>0</v>
      </c>
      <c r="X110" s="47">
        <v>4</v>
      </c>
      <c r="Y110" s="48">
        <v>5.75</v>
      </c>
      <c r="Z110" s="48">
        <v>4</v>
      </c>
      <c r="AA110" s="48">
        <v>0.1</v>
      </c>
      <c r="AB110" s="48"/>
      <c r="AC110" s="49">
        <f t="shared" ref="AC110:AC113" si="104">(Z110+AB110)-X110</f>
        <v>0</v>
      </c>
      <c r="AD110" s="50">
        <f t="shared" si="72"/>
        <v>4</v>
      </c>
      <c r="AE110" s="51">
        <f t="shared" si="73"/>
        <v>0</v>
      </c>
    </row>
    <row r="111" spans="1:31" ht="15.75" x14ac:dyDescent="0.25">
      <c r="A111" s="113"/>
      <c r="B111" s="166"/>
      <c r="C111" s="163" t="s">
        <v>121</v>
      </c>
      <c r="D111" s="40">
        <v>2.0470000000000002</v>
      </c>
      <c r="E111" s="41">
        <v>1531.3</v>
      </c>
      <c r="F111" s="41">
        <f t="shared" si="78"/>
        <v>3134.5711000000001</v>
      </c>
      <c r="G111" s="96">
        <v>3038.6</v>
      </c>
      <c r="H111" s="96">
        <v>1935.1</v>
      </c>
      <c r="I111" s="96">
        <v>579.70000000000005</v>
      </c>
      <c r="J111" s="43">
        <f>H111+I111</f>
        <v>2514.8000000000002</v>
      </c>
      <c r="K111" s="43">
        <f>37.9+11.4</f>
        <v>49.3</v>
      </c>
      <c r="L111" s="43">
        <v>49.3</v>
      </c>
      <c r="M111" s="43"/>
      <c r="N111" s="43">
        <f>G111+L111</f>
        <v>3087.9</v>
      </c>
      <c r="O111" s="43">
        <f>N111-F111</f>
        <v>-46.671100000000024</v>
      </c>
      <c r="P111" s="43">
        <v>1850.6</v>
      </c>
      <c r="Q111" s="96">
        <v>1424.2</v>
      </c>
      <c r="R111" s="96">
        <v>426.5</v>
      </c>
      <c r="S111" s="96"/>
      <c r="T111" s="44">
        <f t="shared" si="103"/>
        <v>1850.6</v>
      </c>
      <c r="U111" s="125"/>
      <c r="V111" s="125"/>
      <c r="W111" s="46">
        <f>U111+V111</f>
        <v>0</v>
      </c>
      <c r="X111" s="140">
        <v>7</v>
      </c>
      <c r="Y111" s="48">
        <v>9.25</v>
      </c>
      <c r="Z111" s="48">
        <v>6</v>
      </c>
      <c r="AA111" s="48">
        <v>0.2</v>
      </c>
      <c r="AB111" s="48"/>
      <c r="AC111" s="49">
        <f t="shared" si="104"/>
        <v>-1</v>
      </c>
      <c r="AD111" s="50">
        <f t="shared" si="72"/>
        <v>6</v>
      </c>
      <c r="AE111" s="51">
        <f t="shared" si="73"/>
        <v>-1</v>
      </c>
    </row>
    <row r="112" spans="1:31" ht="15.75" x14ac:dyDescent="0.25">
      <c r="A112" s="113"/>
      <c r="B112" s="166"/>
      <c r="C112" s="123" t="s">
        <v>122</v>
      </c>
      <c r="D112" s="40">
        <v>0.97199999999999998</v>
      </c>
      <c r="E112" s="41">
        <v>1883.3</v>
      </c>
      <c r="F112" s="41">
        <f t="shared" si="78"/>
        <v>1830.5675999999999</v>
      </c>
      <c r="G112" s="96">
        <v>1807.2</v>
      </c>
      <c r="H112" s="134">
        <v>958.7</v>
      </c>
      <c r="I112" s="96">
        <v>307.8</v>
      </c>
      <c r="J112" s="43">
        <f>H112+I112</f>
        <v>1266.5</v>
      </c>
      <c r="K112" s="43">
        <f>18+5.4</f>
        <v>23.4</v>
      </c>
      <c r="L112" s="43">
        <v>23.4</v>
      </c>
      <c r="M112" s="43"/>
      <c r="N112" s="43">
        <f>G112+L112</f>
        <v>1830.6000000000001</v>
      </c>
      <c r="O112" s="43">
        <f>N112-F112</f>
        <v>3.2400000000279761E-2</v>
      </c>
      <c r="P112" s="43">
        <v>1101.8</v>
      </c>
      <c r="Q112" s="96">
        <v>832.1</v>
      </c>
      <c r="R112" s="96">
        <v>269.60000000000002</v>
      </c>
      <c r="S112" s="96"/>
      <c r="T112" s="44">
        <f t="shared" si="103"/>
        <v>1101.8</v>
      </c>
      <c r="U112" s="125"/>
      <c r="V112" s="125"/>
      <c r="W112" s="46">
        <f>U112+V112</f>
        <v>0</v>
      </c>
      <c r="X112" s="47">
        <v>4</v>
      </c>
      <c r="Y112" s="48">
        <v>4.8499999999999996</v>
      </c>
      <c r="Z112" s="48">
        <v>4</v>
      </c>
      <c r="AA112" s="48">
        <v>0.1</v>
      </c>
      <c r="AB112" s="48"/>
      <c r="AC112" s="49">
        <f t="shared" si="104"/>
        <v>0</v>
      </c>
      <c r="AD112" s="50">
        <f t="shared" si="72"/>
        <v>4</v>
      </c>
      <c r="AE112" s="51">
        <f t="shared" si="73"/>
        <v>0</v>
      </c>
    </row>
    <row r="113" spans="1:31" ht="15.75" x14ac:dyDescent="0.25">
      <c r="A113" s="113"/>
      <c r="B113" s="166"/>
      <c r="C113" s="123" t="s">
        <v>123</v>
      </c>
      <c r="D113" s="40">
        <v>1.6</v>
      </c>
      <c r="E113" s="41">
        <v>1268.0999999999999</v>
      </c>
      <c r="F113" s="41">
        <f t="shared" si="78"/>
        <v>2028.96</v>
      </c>
      <c r="G113" s="96">
        <v>1985.9</v>
      </c>
      <c r="H113" s="96">
        <v>1215.0999999999999</v>
      </c>
      <c r="I113" s="96">
        <v>364.9</v>
      </c>
      <c r="J113" s="43">
        <f>H113+I113</f>
        <v>1580</v>
      </c>
      <c r="K113" s="43">
        <f>29.6+8.9</f>
        <v>38.5</v>
      </c>
      <c r="L113" s="43">
        <f>38.5</f>
        <v>38.5</v>
      </c>
      <c r="M113" s="43"/>
      <c r="N113" s="43">
        <f>G113+L113</f>
        <v>2024.4</v>
      </c>
      <c r="O113" s="43">
        <f>N113-F113</f>
        <v>-4.5599999999999454</v>
      </c>
      <c r="P113" s="43">
        <v>1349.4</v>
      </c>
      <c r="Q113" s="96">
        <v>1038</v>
      </c>
      <c r="R113" s="96">
        <v>311.39999999999998</v>
      </c>
      <c r="S113" s="96"/>
      <c r="T113" s="44">
        <f t="shared" si="103"/>
        <v>1349.4</v>
      </c>
      <c r="U113" s="125"/>
      <c r="V113" s="125"/>
      <c r="W113" s="46">
        <f>U113+V113</f>
        <v>0</v>
      </c>
      <c r="X113" s="47">
        <v>4</v>
      </c>
      <c r="Y113" s="48">
        <v>5.25</v>
      </c>
      <c r="Z113" s="48">
        <v>4</v>
      </c>
      <c r="AA113" s="48">
        <v>0.1</v>
      </c>
      <c r="AB113" s="48"/>
      <c r="AC113" s="49">
        <f t="shared" si="104"/>
        <v>0</v>
      </c>
      <c r="AD113" s="50">
        <f t="shared" si="72"/>
        <v>4</v>
      </c>
      <c r="AE113" s="51">
        <f t="shared" si="73"/>
        <v>0</v>
      </c>
    </row>
    <row r="114" spans="1:31" ht="16.5" thickBot="1" x14ac:dyDescent="0.3">
      <c r="A114" s="113"/>
      <c r="B114" s="167"/>
      <c r="C114" s="127" t="s">
        <v>65</v>
      </c>
      <c r="D114" s="150">
        <f t="shared" ref="D114" si="105">ROUND(SUM(D109:D113),3)</f>
        <v>8.3260000000000005</v>
      </c>
      <c r="E114" s="58"/>
      <c r="F114" s="58"/>
      <c r="G114" s="67">
        <f t="shared" ref="G114:W114" si="106">ROUND(SUM(G109:G113),3)</f>
        <v>8696.5</v>
      </c>
      <c r="H114" s="67">
        <f t="shared" si="106"/>
        <v>5234.6000000000004</v>
      </c>
      <c r="I114" s="67">
        <f t="shared" si="106"/>
        <v>1587.2</v>
      </c>
      <c r="J114" s="67">
        <f t="shared" si="106"/>
        <v>6821.8</v>
      </c>
      <c r="K114" s="67">
        <f t="shared" si="106"/>
        <v>134</v>
      </c>
      <c r="L114" s="67">
        <f t="shared" si="106"/>
        <v>134</v>
      </c>
      <c r="M114" s="67"/>
      <c r="N114" s="67">
        <f t="shared" si="106"/>
        <v>8830.5</v>
      </c>
      <c r="O114" s="60"/>
      <c r="P114" s="67">
        <f t="shared" ref="P114:R114" si="107">ROUND(SUM(P109:P113),3)</f>
        <v>5454.2</v>
      </c>
      <c r="Q114" s="67">
        <f t="shared" si="107"/>
        <v>4183</v>
      </c>
      <c r="R114" s="67">
        <f t="shared" si="107"/>
        <v>1271.2</v>
      </c>
      <c r="S114" s="67"/>
      <c r="T114" s="67"/>
      <c r="U114" s="67">
        <f t="shared" si="106"/>
        <v>0</v>
      </c>
      <c r="V114" s="67">
        <f t="shared" si="106"/>
        <v>0</v>
      </c>
      <c r="W114" s="151">
        <f t="shared" si="106"/>
        <v>0</v>
      </c>
      <c r="X114" s="152"/>
      <c r="Y114" s="67">
        <f t="shared" ref="Y114:AA114" si="108">ROUND(SUM(Y109:Y113),3)</f>
        <v>25.1</v>
      </c>
      <c r="Z114" s="67">
        <f t="shared" si="108"/>
        <v>18</v>
      </c>
      <c r="AA114" s="67">
        <f t="shared" si="108"/>
        <v>0.5</v>
      </c>
      <c r="AB114" s="67"/>
      <c r="AC114" s="65"/>
      <c r="AD114" s="67">
        <f t="shared" si="72"/>
        <v>18</v>
      </c>
      <c r="AE114" s="68"/>
    </row>
    <row r="115" spans="1:31" ht="15.75" x14ac:dyDescent="0.25">
      <c r="A115" s="113"/>
      <c r="B115" s="118" t="s">
        <v>49</v>
      </c>
      <c r="C115" s="119" t="s">
        <v>124</v>
      </c>
      <c r="D115" s="83">
        <v>4.9119999999999999</v>
      </c>
      <c r="E115" s="84">
        <v>263.89999999999998</v>
      </c>
      <c r="F115" s="84">
        <f t="shared" si="78"/>
        <v>1296.2767999999999</v>
      </c>
      <c r="G115" s="168">
        <v>1206.0999999999999</v>
      </c>
      <c r="H115" s="120">
        <v>808.5</v>
      </c>
      <c r="I115" s="120">
        <v>253.1</v>
      </c>
      <c r="J115" s="86">
        <f t="shared" ref="J115:J118" si="109">H115+I115</f>
        <v>1061.5999999999999</v>
      </c>
      <c r="K115" s="86"/>
      <c r="L115" s="86"/>
      <c r="M115" s="86"/>
      <c r="N115" s="86">
        <f>G115+L115</f>
        <v>1206.0999999999999</v>
      </c>
      <c r="O115" s="86">
        <f>N115-F115</f>
        <v>-90.176799999999957</v>
      </c>
      <c r="P115" s="86">
        <v>650</v>
      </c>
      <c r="Q115" s="120">
        <v>499.2</v>
      </c>
      <c r="R115" s="120">
        <v>150.80000000000001</v>
      </c>
      <c r="S115" s="120"/>
      <c r="T115" s="87">
        <f t="shared" ref="T115:T118" si="110">P115+S115</f>
        <v>650</v>
      </c>
      <c r="U115" s="121"/>
      <c r="V115" s="121"/>
      <c r="W115" s="89">
        <f>U115+V115</f>
        <v>0</v>
      </c>
      <c r="X115" s="169">
        <v>1</v>
      </c>
      <c r="Y115" s="32">
        <v>2.5</v>
      </c>
      <c r="Z115" s="32">
        <v>1</v>
      </c>
      <c r="AA115" s="32"/>
      <c r="AB115" s="32"/>
      <c r="AC115" s="91">
        <f t="shared" ref="AC115:AC118" si="111">(Z115+AB115)-X115</f>
        <v>0</v>
      </c>
      <c r="AD115" s="35">
        <f t="shared" si="72"/>
        <v>1</v>
      </c>
      <c r="AE115" s="92">
        <f t="shared" si="73"/>
        <v>0</v>
      </c>
    </row>
    <row r="116" spans="1:31" ht="15.75" x14ac:dyDescent="0.25">
      <c r="A116" s="113"/>
      <c r="B116" s="122"/>
      <c r="C116" s="163" t="s">
        <v>125</v>
      </c>
      <c r="D116" s="40">
        <v>1.8640000000000001</v>
      </c>
      <c r="E116" s="41">
        <v>1614.1</v>
      </c>
      <c r="F116" s="41">
        <f t="shared" si="78"/>
        <v>3008.6824000000001</v>
      </c>
      <c r="G116" s="170">
        <v>3111.7</v>
      </c>
      <c r="H116" s="96">
        <v>2027.1</v>
      </c>
      <c r="I116" s="96">
        <v>606.1</v>
      </c>
      <c r="J116" s="43">
        <f t="shared" si="109"/>
        <v>2633.2</v>
      </c>
      <c r="K116" s="43"/>
      <c r="L116" s="43"/>
      <c r="M116" s="43">
        <v>124.1</v>
      </c>
      <c r="N116" s="43">
        <f>G116+L116-M116</f>
        <v>2987.6</v>
      </c>
      <c r="O116" s="43">
        <f>N116-F116</f>
        <v>-21.082400000000234</v>
      </c>
      <c r="P116" s="43">
        <v>2055.4</v>
      </c>
      <c r="Q116" s="96">
        <v>1582.4</v>
      </c>
      <c r="R116" s="96">
        <v>473</v>
      </c>
      <c r="S116" s="96"/>
      <c r="T116" s="44">
        <f t="shared" si="110"/>
        <v>2055.4</v>
      </c>
      <c r="U116" s="125"/>
      <c r="V116" s="125"/>
      <c r="W116" s="46">
        <f>U116+V116</f>
        <v>0</v>
      </c>
      <c r="X116" s="140">
        <v>5</v>
      </c>
      <c r="Y116" s="48">
        <v>6.5</v>
      </c>
      <c r="Z116" s="48">
        <v>4.75</v>
      </c>
      <c r="AA116" s="48"/>
      <c r="AB116" s="48"/>
      <c r="AC116" s="49">
        <f t="shared" si="111"/>
        <v>-0.25</v>
      </c>
      <c r="AD116" s="50">
        <f t="shared" si="72"/>
        <v>4.75</v>
      </c>
      <c r="AE116" s="51">
        <v>-0.2</v>
      </c>
    </row>
    <row r="117" spans="1:31" ht="15.75" x14ac:dyDescent="0.25">
      <c r="A117" s="113"/>
      <c r="B117" s="122"/>
      <c r="C117" s="163" t="s">
        <v>126</v>
      </c>
      <c r="D117" s="40">
        <v>1.5760000000000001</v>
      </c>
      <c r="E117" s="41">
        <v>1855.1</v>
      </c>
      <c r="F117" s="41">
        <f t="shared" si="78"/>
        <v>2923.6376</v>
      </c>
      <c r="G117" s="171">
        <v>2922.1</v>
      </c>
      <c r="H117" s="172">
        <v>2026.8</v>
      </c>
      <c r="I117" s="172">
        <v>631.29999999999995</v>
      </c>
      <c r="J117" s="43">
        <f t="shared" si="109"/>
        <v>2658.1</v>
      </c>
      <c r="K117" s="43"/>
      <c r="L117" s="43"/>
      <c r="M117" s="43"/>
      <c r="N117" s="43">
        <f>G117+L117</f>
        <v>2922.1</v>
      </c>
      <c r="O117" s="43">
        <f>N117-F117</f>
        <v>-1.5376000000001113</v>
      </c>
      <c r="P117" s="43">
        <v>2493</v>
      </c>
      <c r="Q117" s="172">
        <v>1899.5</v>
      </c>
      <c r="R117" s="172">
        <v>593.5</v>
      </c>
      <c r="S117" s="172"/>
      <c r="T117" s="44">
        <f t="shared" si="110"/>
        <v>2493</v>
      </c>
      <c r="U117" s="173"/>
      <c r="V117" s="173"/>
      <c r="W117" s="46">
        <f>U117+V117</f>
        <v>0</v>
      </c>
      <c r="X117" s="174">
        <v>7</v>
      </c>
      <c r="Y117" s="48">
        <v>8.5</v>
      </c>
      <c r="Z117" s="48">
        <v>7</v>
      </c>
      <c r="AA117" s="48"/>
      <c r="AB117" s="48"/>
      <c r="AC117" s="49">
        <f t="shared" si="111"/>
        <v>0</v>
      </c>
      <c r="AD117" s="50">
        <f t="shared" si="72"/>
        <v>7</v>
      </c>
      <c r="AE117" s="51">
        <f t="shared" si="73"/>
        <v>0</v>
      </c>
    </row>
    <row r="118" spans="1:31" ht="15.75" x14ac:dyDescent="0.25">
      <c r="A118" s="113">
        <v>27</v>
      </c>
      <c r="B118" s="122"/>
      <c r="C118" s="163" t="s">
        <v>127</v>
      </c>
      <c r="D118" s="40">
        <v>1.3089999999999999</v>
      </c>
      <c r="E118" s="41">
        <v>2354.1</v>
      </c>
      <c r="F118" s="41">
        <f t="shared" si="78"/>
        <v>3081.5168999999996</v>
      </c>
      <c r="G118" s="170">
        <v>3037.2</v>
      </c>
      <c r="H118" s="96">
        <v>2194.3000000000002</v>
      </c>
      <c r="I118" s="96">
        <v>603.4</v>
      </c>
      <c r="J118" s="43">
        <f t="shared" si="109"/>
        <v>2797.7000000000003</v>
      </c>
      <c r="K118" s="43"/>
      <c r="L118" s="43"/>
      <c r="M118" s="43"/>
      <c r="N118" s="43">
        <f>G118+L118</f>
        <v>3037.2</v>
      </c>
      <c r="O118" s="43">
        <f>N118-F118</f>
        <v>-44.316899999999805</v>
      </c>
      <c r="P118" s="43">
        <v>2208.6999999999998</v>
      </c>
      <c r="Q118" s="96">
        <v>1739.9</v>
      </c>
      <c r="R118" s="96">
        <v>468.8</v>
      </c>
      <c r="S118" s="96"/>
      <c r="T118" s="44">
        <f t="shared" si="110"/>
        <v>2208.6999999999998</v>
      </c>
      <c r="U118" s="125"/>
      <c r="V118" s="125"/>
      <c r="W118" s="46">
        <f>U118+V118</f>
        <v>0</v>
      </c>
      <c r="X118" s="140">
        <v>9</v>
      </c>
      <c r="Y118" s="48">
        <v>8.5</v>
      </c>
      <c r="Z118" s="48">
        <v>5</v>
      </c>
      <c r="AA118" s="48"/>
      <c r="AB118" s="48"/>
      <c r="AC118" s="49">
        <f t="shared" si="111"/>
        <v>-4</v>
      </c>
      <c r="AD118" s="50">
        <f t="shared" si="72"/>
        <v>5</v>
      </c>
      <c r="AE118" s="51">
        <f t="shared" si="73"/>
        <v>-4</v>
      </c>
    </row>
    <row r="119" spans="1:31" ht="16.5" thickBot="1" x14ac:dyDescent="0.3">
      <c r="A119" s="113"/>
      <c r="B119" s="126"/>
      <c r="C119" s="127" t="s">
        <v>65</v>
      </c>
      <c r="D119" s="128">
        <f>ROUND(SUM(D115:D118),3)</f>
        <v>9.6609999999999996</v>
      </c>
      <c r="E119" s="58"/>
      <c r="F119" s="58"/>
      <c r="G119" s="129">
        <f t="shared" ref="G119:N119" si="112">ROUND(SUM(G115:G118),3)</f>
        <v>10277.1</v>
      </c>
      <c r="H119" s="129">
        <f t="shared" si="112"/>
        <v>7056.7</v>
      </c>
      <c r="I119" s="129">
        <f t="shared" si="112"/>
        <v>2093.9</v>
      </c>
      <c r="J119" s="129">
        <f t="shared" si="112"/>
        <v>9150.6</v>
      </c>
      <c r="K119" s="129"/>
      <c r="L119" s="129">
        <f t="shared" si="112"/>
        <v>0</v>
      </c>
      <c r="M119" s="129"/>
      <c r="N119" s="129">
        <f t="shared" si="112"/>
        <v>10153</v>
      </c>
      <c r="O119" s="60"/>
      <c r="P119" s="129">
        <f t="shared" ref="P119:T119" si="113">ROUND(SUM(P115:P118),3)</f>
        <v>7407.1</v>
      </c>
      <c r="Q119" s="129">
        <f t="shared" si="113"/>
        <v>5721</v>
      </c>
      <c r="R119" s="129">
        <f t="shared" si="113"/>
        <v>1686.1</v>
      </c>
      <c r="S119" s="129">
        <f t="shared" si="113"/>
        <v>0</v>
      </c>
      <c r="T119" s="129">
        <f t="shared" si="113"/>
        <v>7407.1</v>
      </c>
      <c r="U119" s="129">
        <f>ROUND(SUM(U115:U118),3)</f>
        <v>0</v>
      </c>
      <c r="V119" s="129">
        <f>ROUND(SUM(V115:V118),3)</f>
        <v>0</v>
      </c>
      <c r="W119" s="130">
        <f>ROUND(SUM(W115:W118),3)</f>
        <v>0</v>
      </c>
      <c r="X119" s="131"/>
      <c r="Y119" s="129">
        <f t="shared" ref="Y119:AB119" si="114">ROUND(SUM(Y115:Y118),3)</f>
        <v>26</v>
      </c>
      <c r="Z119" s="129">
        <f t="shared" si="114"/>
        <v>17.75</v>
      </c>
      <c r="AA119" s="129">
        <f t="shared" si="114"/>
        <v>0</v>
      </c>
      <c r="AB119" s="129">
        <f t="shared" si="114"/>
        <v>0</v>
      </c>
      <c r="AC119" s="65"/>
      <c r="AD119" s="67">
        <f t="shared" si="72"/>
        <v>17.75</v>
      </c>
      <c r="AE119" s="68"/>
    </row>
    <row r="120" spans="1:31" ht="15.75" x14ac:dyDescent="0.25">
      <c r="A120" s="113"/>
      <c r="B120" s="118" t="s">
        <v>50</v>
      </c>
      <c r="C120" s="119" t="s">
        <v>128</v>
      </c>
      <c r="D120" s="83">
        <v>3.4780000000000002</v>
      </c>
      <c r="E120" s="84">
        <v>262</v>
      </c>
      <c r="F120" s="84">
        <f t="shared" si="78"/>
        <v>911.2360000000001</v>
      </c>
      <c r="G120" s="133">
        <v>777.6</v>
      </c>
      <c r="H120" s="133">
        <v>484.8</v>
      </c>
      <c r="I120" s="133">
        <v>144.9</v>
      </c>
      <c r="J120" s="86">
        <f>H120+I120</f>
        <v>629.70000000000005</v>
      </c>
      <c r="K120" s="86"/>
      <c r="L120" s="86">
        <v>0</v>
      </c>
      <c r="M120" s="86"/>
      <c r="N120" s="86">
        <f>G120+L120</f>
        <v>777.6</v>
      </c>
      <c r="O120" s="86">
        <f>N120-F120</f>
        <v>-133.63600000000008</v>
      </c>
      <c r="P120" s="86">
        <v>629.79999999999995</v>
      </c>
      <c r="Q120" s="133">
        <v>484.8</v>
      </c>
      <c r="R120" s="133">
        <v>144.9</v>
      </c>
      <c r="S120" s="120"/>
      <c r="T120" s="87">
        <f t="shared" ref="T120:T122" si="115">P120+S120</f>
        <v>629.79999999999995</v>
      </c>
      <c r="U120" s="121"/>
      <c r="V120" s="121"/>
      <c r="W120" s="89">
        <f>U120+V120</f>
        <v>0</v>
      </c>
      <c r="X120" s="90">
        <v>1</v>
      </c>
      <c r="Y120" s="32">
        <v>1</v>
      </c>
      <c r="Z120" s="32">
        <v>1</v>
      </c>
      <c r="AA120" s="32"/>
      <c r="AB120" s="32"/>
      <c r="AC120" s="91">
        <f t="shared" ref="AC120:AC122" si="116">(Z120+AB120)-X120</f>
        <v>0</v>
      </c>
      <c r="AD120" s="35">
        <f t="shared" si="72"/>
        <v>1</v>
      </c>
      <c r="AE120" s="92">
        <f t="shared" si="73"/>
        <v>0</v>
      </c>
    </row>
    <row r="121" spans="1:31" ht="15.75" x14ac:dyDescent="0.25">
      <c r="A121" s="113"/>
      <c r="B121" s="122"/>
      <c r="C121" s="123" t="s">
        <v>129</v>
      </c>
      <c r="D121" s="40">
        <v>0.57499999999999996</v>
      </c>
      <c r="E121" s="41">
        <v>2002.2</v>
      </c>
      <c r="F121" s="41">
        <f t="shared" si="78"/>
        <v>1151.2649999999999</v>
      </c>
      <c r="G121" s="96">
        <v>983</v>
      </c>
      <c r="H121" s="96">
        <v>635.70000000000005</v>
      </c>
      <c r="I121" s="96">
        <v>190.7</v>
      </c>
      <c r="J121" s="43">
        <v>471.5</v>
      </c>
      <c r="K121" s="43">
        <f>26.6+8</f>
        <v>34.6</v>
      </c>
      <c r="L121" s="43">
        <v>34.6</v>
      </c>
      <c r="M121" s="43"/>
      <c r="N121" s="43">
        <f>G121+L121</f>
        <v>1017.6</v>
      </c>
      <c r="O121" s="43">
        <f>N121-F121</f>
        <v>-133.66499999999985</v>
      </c>
      <c r="P121" s="43">
        <v>471.5</v>
      </c>
      <c r="Q121" s="96">
        <v>362.2</v>
      </c>
      <c r="R121" s="96">
        <v>109.4</v>
      </c>
      <c r="S121" s="96">
        <v>34.6</v>
      </c>
      <c r="T121" s="44">
        <f t="shared" si="115"/>
        <v>506.1</v>
      </c>
      <c r="U121" s="125"/>
      <c r="V121" s="125"/>
      <c r="W121" s="46">
        <f>U121+V121</f>
        <v>0</v>
      </c>
      <c r="X121" s="47">
        <v>3</v>
      </c>
      <c r="Y121" s="48">
        <v>4</v>
      </c>
      <c r="Z121" s="48">
        <v>2</v>
      </c>
      <c r="AA121" s="48">
        <v>1</v>
      </c>
      <c r="AB121" s="48">
        <v>1</v>
      </c>
      <c r="AC121" s="49">
        <f t="shared" si="116"/>
        <v>0</v>
      </c>
      <c r="AD121" s="50">
        <f t="shared" si="72"/>
        <v>3</v>
      </c>
      <c r="AE121" s="51">
        <f t="shared" si="73"/>
        <v>0</v>
      </c>
    </row>
    <row r="122" spans="1:31" ht="15.75" x14ac:dyDescent="0.25">
      <c r="A122" s="113">
        <v>34</v>
      </c>
      <c r="B122" s="122"/>
      <c r="C122" s="163" t="s">
        <v>130</v>
      </c>
      <c r="D122" s="40">
        <v>1.958</v>
      </c>
      <c r="E122" s="41">
        <v>2628.4</v>
      </c>
      <c r="F122" s="41">
        <f t="shared" si="78"/>
        <v>5146.4071999999996</v>
      </c>
      <c r="G122" s="96">
        <v>4765.2</v>
      </c>
      <c r="H122" s="96">
        <v>2937.9</v>
      </c>
      <c r="I122" s="96">
        <v>923.4</v>
      </c>
      <c r="J122" s="43">
        <f>H122+I122</f>
        <v>3861.3</v>
      </c>
      <c r="K122" s="43"/>
      <c r="L122" s="43">
        <v>0</v>
      </c>
      <c r="M122" s="43"/>
      <c r="N122" s="43">
        <f>G122+L122</f>
        <v>4765.2</v>
      </c>
      <c r="O122" s="43">
        <f>N122-F122</f>
        <v>-381.20719999999983</v>
      </c>
      <c r="P122" s="43">
        <v>2448.6</v>
      </c>
      <c r="Q122" s="96">
        <v>1883.1</v>
      </c>
      <c r="R122" s="96">
        <v>565.5</v>
      </c>
      <c r="S122" s="96"/>
      <c r="T122" s="44">
        <f t="shared" si="115"/>
        <v>2448.6</v>
      </c>
      <c r="U122" s="125"/>
      <c r="V122" s="125"/>
      <c r="W122" s="46">
        <f>U122+V122</f>
        <v>0</v>
      </c>
      <c r="X122" s="174">
        <v>7</v>
      </c>
      <c r="Y122" s="48">
        <v>12.5</v>
      </c>
      <c r="Z122" s="48">
        <v>5</v>
      </c>
      <c r="AA122" s="48"/>
      <c r="AB122" s="48"/>
      <c r="AC122" s="49">
        <f t="shared" si="116"/>
        <v>-2</v>
      </c>
      <c r="AD122" s="50">
        <f t="shared" si="72"/>
        <v>5</v>
      </c>
      <c r="AE122" s="51">
        <f t="shared" si="73"/>
        <v>-2</v>
      </c>
    </row>
    <row r="123" spans="1:31" ht="16.5" thickBot="1" x14ac:dyDescent="0.3">
      <c r="A123" s="113"/>
      <c r="B123" s="126"/>
      <c r="C123" s="127" t="s">
        <v>65</v>
      </c>
      <c r="D123" s="128">
        <f>ROUND(SUM(D120:D122),3)</f>
        <v>6.0110000000000001</v>
      </c>
      <c r="E123" s="58"/>
      <c r="F123" s="58"/>
      <c r="G123" s="129">
        <f t="shared" ref="G123:N123" si="117">ROUND(SUM(G120:G122),3)</f>
        <v>6525.8</v>
      </c>
      <c r="H123" s="129">
        <f t="shared" si="117"/>
        <v>4058.4</v>
      </c>
      <c r="I123" s="129">
        <f t="shared" si="117"/>
        <v>1259</v>
      </c>
      <c r="J123" s="129">
        <f t="shared" si="117"/>
        <v>4962.5</v>
      </c>
      <c r="K123" s="129">
        <f t="shared" si="117"/>
        <v>34.6</v>
      </c>
      <c r="L123" s="129">
        <f t="shared" si="117"/>
        <v>34.6</v>
      </c>
      <c r="M123" s="129"/>
      <c r="N123" s="129">
        <f t="shared" si="117"/>
        <v>6560.4</v>
      </c>
      <c r="O123" s="60"/>
      <c r="P123" s="175">
        <f t="shared" ref="P123:T123" si="118">ROUND(SUM(P120:P122),3)</f>
        <v>3549.9</v>
      </c>
      <c r="Q123" s="129">
        <f t="shared" si="118"/>
        <v>2730.1</v>
      </c>
      <c r="R123" s="129">
        <f t="shared" si="118"/>
        <v>819.8</v>
      </c>
      <c r="S123" s="129">
        <f t="shared" si="118"/>
        <v>34.6</v>
      </c>
      <c r="T123" s="129">
        <f t="shared" si="118"/>
        <v>3584.5</v>
      </c>
      <c r="U123" s="129">
        <f>ROUND(SUM(U120:U122),3)</f>
        <v>0</v>
      </c>
      <c r="V123" s="129">
        <f>ROUND(SUM(V120:V122),3)</f>
        <v>0</v>
      </c>
      <c r="W123" s="130">
        <f>ROUND(SUM(W120:W122),3)</f>
        <v>0</v>
      </c>
      <c r="X123" s="131"/>
      <c r="Y123" s="129">
        <f t="shared" ref="Y123:AB123" si="119">ROUND(SUM(Y120:Y122),3)</f>
        <v>17.5</v>
      </c>
      <c r="Z123" s="129">
        <f t="shared" si="119"/>
        <v>8</v>
      </c>
      <c r="AA123" s="129">
        <f t="shared" si="119"/>
        <v>1</v>
      </c>
      <c r="AB123" s="129">
        <f t="shared" si="119"/>
        <v>1</v>
      </c>
      <c r="AC123" s="65"/>
      <c r="AD123" s="67">
        <f t="shared" si="72"/>
        <v>9</v>
      </c>
      <c r="AE123" s="68"/>
    </row>
    <row r="124" spans="1:31" ht="15.75" x14ac:dyDescent="0.25">
      <c r="A124" s="113"/>
      <c r="B124" s="122" t="s">
        <v>51</v>
      </c>
      <c r="C124" s="123" t="s">
        <v>131</v>
      </c>
      <c r="D124" s="40">
        <v>3.125</v>
      </c>
      <c r="E124" s="41">
        <v>1721.3</v>
      </c>
      <c r="F124" s="41">
        <f t="shared" si="78"/>
        <v>5379.0625</v>
      </c>
      <c r="G124" s="96">
        <v>5335.7</v>
      </c>
      <c r="H124" s="96">
        <v>3632.7</v>
      </c>
      <c r="I124" s="96">
        <v>1045.3</v>
      </c>
      <c r="J124" s="43">
        <f>H124+I124</f>
        <v>4678</v>
      </c>
      <c r="K124" s="43">
        <f>33+10</f>
        <v>43</v>
      </c>
      <c r="L124" s="43">
        <v>43</v>
      </c>
      <c r="M124" s="43"/>
      <c r="N124" s="43">
        <f>G124+L124</f>
        <v>5378.7</v>
      </c>
      <c r="O124" s="43">
        <f>N124-F124</f>
        <v>-0.3625000000001819</v>
      </c>
      <c r="P124" s="43">
        <v>3429.2</v>
      </c>
      <c r="Q124" s="96">
        <v>2608.6</v>
      </c>
      <c r="R124" s="96">
        <v>820.6</v>
      </c>
      <c r="S124" s="96"/>
      <c r="T124" s="44">
        <f t="shared" ref="T124:T126" si="120">P124+S124</f>
        <v>3429.2</v>
      </c>
      <c r="U124" s="125"/>
      <c r="V124" s="125"/>
      <c r="W124" s="46">
        <f>U124+V124</f>
        <v>0</v>
      </c>
      <c r="X124" s="47">
        <v>5</v>
      </c>
      <c r="Y124" s="48">
        <v>10.5</v>
      </c>
      <c r="Z124" s="48">
        <v>5</v>
      </c>
      <c r="AA124" s="48">
        <v>0.06</v>
      </c>
      <c r="AB124" s="48"/>
      <c r="AC124" s="49">
        <f t="shared" ref="AC124:AC126" si="121">(Z124+AB124)-X124</f>
        <v>0</v>
      </c>
      <c r="AD124" s="50">
        <f t="shared" si="72"/>
        <v>5</v>
      </c>
      <c r="AE124" s="51">
        <f t="shared" si="73"/>
        <v>0</v>
      </c>
    </row>
    <row r="125" spans="1:31" ht="15.75" x14ac:dyDescent="0.25">
      <c r="A125" s="113"/>
      <c r="B125" s="122"/>
      <c r="C125" s="176" t="s">
        <v>132</v>
      </c>
      <c r="D125" s="40">
        <v>1.4139999999999999</v>
      </c>
      <c r="E125" s="41">
        <v>1533.6</v>
      </c>
      <c r="F125" s="41">
        <f t="shared" si="78"/>
        <v>2168.5103999999997</v>
      </c>
      <c r="G125" s="96">
        <v>1918.6</v>
      </c>
      <c r="H125" s="96">
        <v>1472.4</v>
      </c>
      <c r="I125" s="96">
        <v>446.2</v>
      </c>
      <c r="J125" s="43">
        <f>H125+I125</f>
        <v>1918.6000000000001</v>
      </c>
      <c r="K125" s="43">
        <f>191+57.7</f>
        <v>248.7</v>
      </c>
      <c r="L125" s="43">
        <v>248.7</v>
      </c>
      <c r="M125" s="43"/>
      <c r="N125" s="43">
        <f>G125+L125</f>
        <v>2167.2999999999997</v>
      </c>
      <c r="O125" s="43">
        <f>N125-F125</f>
        <v>-1.210399999999936</v>
      </c>
      <c r="P125" s="43">
        <v>1338.2</v>
      </c>
      <c r="Q125" s="96">
        <v>1027.8</v>
      </c>
      <c r="R125" s="96">
        <v>310.39999999999998</v>
      </c>
      <c r="S125" s="96">
        <v>248.7</v>
      </c>
      <c r="T125" s="44">
        <f t="shared" si="120"/>
        <v>1586.9</v>
      </c>
      <c r="U125" s="125"/>
      <c r="V125" s="125"/>
      <c r="W125" s="46">
        <f>U125+V125</f>
        <v>0</v>
      </c>
      <c r="X125" s="47">
        <v>4</v>
      </c>
      <c r="Y125" s="48">
        <v>5</v>
      </c>
      <c r="Z125" s="48">
        <v>3</v>
      </c>
      <c r="AA125" s="48">
        <v>0.56999999999999995</v>
      </c>
      <c r="AB125" s="48">
        <v>0.56999999999999995</v>
      </c>
      <c r="AC125" s="49">
        <f t="shared" si="121"/>
        <v>-0.43000000000000016</v>
      </c>
      <c r="AD125" s="50">
        <f t="shared" si="72"/>
        <v>3.57</v>
      </c>
      <c r="AE125" s="51">
        <f t="shared" si="73"/>
        <v>-0.43000000000000016</v>
      </c>
    </row>
    <row r="126" spans="1:31" ht="15.75" x14ac:dyDescent="0.25">
      <c r="A126" s="113"/>
      <c r="B126" s="122"/>
      <c r="C126" s="123" t="s">
        <v>133</v>
      </c>
      <c r="D126" s="40">
        <v>0.86099999999999999</v>
      </c>
      <c r="E126" s="41">
        <v>2283.3000000000002</v>
      </c>
      <c r="F126" s="41">
        <f t="shared" si="78"/>
        <v>1965.9213000000002</v>
      </c>
      <c r="G126" s="96">
        <v>1785.1</v>
      </c>
      <c r="H126" s="96">
        <v>1371.1</v>
      </c>
      <c r="I126" s="96">
        <v>414.1</v>
      </c>
      <c r="J126" s="43">
        <f>H126+I126</f>
        <v>1785.1999999999998</v>
      </c>
      <c r="K126" s="43">
        <f>131.5+39.7</f>
        <v>171.2</v>
      </c>
      <c r="L126" s="43">
        <v>171.3</v>
      </c>
      <c r="M126" s="43"/>
      <c r="N126" s="43">
        <f>G126+L126</f>
        <v>1956.3999999999999</v>
      </c>
      <c r="O126" s="43">
        <f>N126-F126</f>
        <v>-9.5213000000003376</v>
      </c>
      <c r="P126" s="43">
        <v>996.1</v>
      </c>
      <c r="Q126" s="96">
        <v>768.8</v>
      </c>
      <c r="R126" s="96">
        <v>227.4</v>
      </c>
      <c r="S126" s="96">
        <v>171.3</v>
      </c>
      <c r="T126" s="44">
        <f t="shared" si="120"/>
        <v>1167.4000000000001</v>
      </c>
      <c r="U126" s="125"/>
      <c r="V126" s="125"/>
      <c r="W126" s="46">
        <f>U126+V126</f>
        <v>0</v>
      </c>
      <c r="X126" s="47">
        <v>3</v>
      </c>
      <c r="Y126" s="48">
        <v>6</v>
      </c>
      <c r="Z126" s="48">
        <v>2</v>
      </c>
      <c r="AA126" s="48">
        <v>0.46</v>
      </c>
      <c r="AB126" s="48">
        <v>0.46</v>
      </c>
      <c r="AC126" s="49">
        <f t="shared" si="121"/>
        <v>-0.54</v>
      </c>
      <c r="AD126" s="50">
        <f t="shared" si="72"/>
        <v>2.46</v>
      </c>
      <c r="AE126" s="51">
        <f t="shared" si="73"/>
        <v>-0.54</v>
      </c>
    </row>
    <row r="127" spans="1:31" ht="16.5" thickBot="1" x14ac:dyDescent="0.3">
      <c r="A127" s="113"/>
      <c r="B127" s="126"/>
      <c r="C127" s="127" t="s">
        <v>65</v>
      </c>
      <c r="D127" s="128">
        <f>ROUND(SUM(D124:D126),3)</f>
        <v>5.4</v>
      </c>
      <c r="E127" s="58"/>
      <c r="F127" s="58"/>
      <c r="G127" s="129">
        <f t="shared" ref="G127:L127" si="122">ROUND(SUM(G124:G126),3)</f>
        <v>9039.4</v>
      </c>
      <c r="H127" s="129">
        <f t="shared" si="122"/>
        <v>6476.2</v>
      </c>
      <c r="I127" s="129">
        <f t="shared" si="122"/>
        <v>1905.6</v>
      </c>
      <c r="J127" s="129">
        <f t="shared" si="122"/>
        <v>8381.7999999999993</v>
      </c>
      <c r="K127" s="129">
        <f t="shared" si="122"/>
        <v>462.9</v>
      </c>
      <c r="L127" s="129">
        <f t="shared" si="122"/>
        <v>463</v>
      </c>
      <c r="M127" s="129"/>
      <c r="N127" s="129">
        <f>ROUND(SUM(N124:N126),3)</f>
        <v>9502.4</v>
      </c>
      <c r="O127" s="60"/>
      <c r="P127" s="129">
        <f t="shared" ref="P127:W127" si="123">ROUND(SUM(P124:P126),3)</f>
        <v>5763.5</v>
      </c>
      <c r="Q127" s="129">
        <f t="shared" si="123"/>
        <v>4405.2</v>
      </c>
      <c r="R127" s="129">
        <f t="shared" si="123"/>
        <v>1358.4</v>
      </c>
      <c r="S127" s="129">
        <f t="shared" si="123"/>
        <v>420</v>
      </c>
      <c r="T127" s="129">
        <f t="shared" si="123"/>
        <v>6183.5</v>
      </c>
      <c r="U127" s="129">
        <f t="shared" si="123"/>
        <v>0</v>
      </c>
      <c r="V127" s="129">
        <f t="shared" si="123"/>
        <v>0</v>
      </c>
      <c r="W127" s="130">
        <f t="shared" si="123"/>
        <v>0</v>
      </c>
      <c r="X127" s="131"/>
      <c r="Y127" s="129">
        <f>ROUND(SUM(Y124:Y126),3)</f>
        <v>21.5</v>
      </c>
      <c r="Z127" s="129">
        <f>ROUND(SUM(Z124:Z126),3)</f>
        <v>10</v>
      </c>
      <c r="AA127" s="129">
        <f>ROUND(SUM(AA124:AA126),3)</f>
        <v>1.0900000000000001</v>
      </c>
      <c r="AB127" s="129">
        <f>ROUND(SUM(AB124:AB126),3)</f>
        <v>1.03</v>
      </c>
      <c r="AC127" s="65"/>
      <c r="AD127" s="67">
        <f t="shared" si="72"/>
        <v>11.03</v>
      </c>
      <c r="AE127" s="68"/>
    </row>
    <row r="128" spans="1:31" ht="15.75" x14ac:dyDescent="0.25">
      <c r="A128" s="113"/>
      <c r="B128" s="177" t="s">
        <v>52</v>
      </c>
      <c r="C128" s="132" t="s">
        <v>134</v>
      </c>
      <c r="D128" s="156">
        <v>7.0780000000000003</v>
      </c>
      <c r="E128" s="84">
        <v>0</v>
      </c>
      <c r="F128" s="84">
        <v>0</v>
      </c>
      <c r="G128" s="157"/>
      <c r="H128" s="157"/>
      <c r="I128" s="157"/>
      <c r="J128" s="157"/>
      <c r="K128" s="157"/>
      <c r="L128" s="157"/>
      <c r="M128" s="157"/>
      <c r="N128" s="86">
        <f>G128+L128</f>
        <v>0</v>
      </c>
      <c r="O128" s="86">
        <f>N128-F128</f>
        <v>0</v>
      </c>
      <c r="P128" s="157"/>
      <c r="Q128" s="157"/>
      <c r="R128" s="157"/>
      <c r="S128" s="157"/>
      <c r="T128" s="157"/>
      <c r="U128" s="157"/>
      <c r="V128" s="157"/>
      <c r="W128" s="158"/>
      <c r="X128" s="178">
        <v>0</v>
      </c>
      <c r="Y128" s="157"/>
      <c r="Z128" s="157"/>
      <c r="AA128" s="157"/>
      <c r="AB128" s="157"/>
      <c r="AC128" s="157"/>
      <c r="AD128" s="157">
        <v>0</v>
      </c>
      <c r="AE128" s="92">
        <v>0</v>
      </c>
    </row>
    <row r="129" spans="1:31" ht="15.75" x14ac:dyDescent="0.25">
      <c r="A129" s="113"/>
      <c r="B129" s="179"/>
      <c r="C129" s="176" t="s">
        <v>135</v>
      </c>
      <c r="D129" s="40">
        <v>0.66100000000000003</v>
      </c>
      <c r="E129" s="41">
        <v>2529.1</v>
      </c>
      <c r="F129" s="41">
        <f t="shared" si="78"/>
        <v>1671.7351000000001</v>
      </c>
      <c r="G129" s="96">
        <v>1449</v>
      </c>
      <c r="H129" s="96">
        <v>1070.5999999999999</v>
      </c>
      <c r="I129" s="96">
        <v>320.3</v>
      </c>
      <c r="J129" s="43">
        <v>975</v>
      </c>
      <c r="K129" s="43">
        <f>38.6+11.7</f>
        <v>50.3</v>
      </c>
      <c r="L129" s="43">
        <v>50.3</v>
      </c>
      <c r="M129" s="43"/>
      <c r="N129" s="43">
        <f>G129+L129</f>
        <v>1499.3</v>
      </c>
      <c r="O129" s="43">
        <f>N129-F129</f>
        <v>-172.43510000000015</v>
      </c>
      <c r="P129" s="43">
        <v>1029.5</v>
      </c>
      <c r="Q129" s="96">
        <v>792.6</v>
      </c>
      <c r="R129" s="96">
        <v>236.9</v>
      </c>
      <c r="S129" s="96"/>
      <c r="T129" s="44">
        <f t="shared" ref="T129:T132" si="124">P129+S129</f>
        <v>1029.5</v>
      </c>
      <c r="U129" s="125"/>
      <c r="V129" s="125"/>
      <c r="W129" s="46">
        <f>U129+V129</f>
        <v>0</v>
      </c>
      <c r="X129" s="47">
        <v>3</v>
      </c>
      <c r="Y129" s="48">
        <v>5.25</v>
      </c>
      <c r="Z129" s="48">
        <v>3</v>
      </c>
      <c r="AA129" s="48">
        <v>0.32</v>
      </c>
      <c r="AB129" s="48"/>
      <c r="AC129" s="49">
        <f t="shared" ref="AC129:AC132" si="125">(Z129+AB129)-X129</f>
        <v>0</v>
      </c>
      <c r="AD129" s="50">
        <f t="shared" si="72"/>
        <v>3</v>
      </c>
      <c r="AE129" s="51">
        <f t="shared" si="73"/>
        <v>0</v>
      </c>
    </row>
    <row r="130" spans="1:31" ht="15.75" x14ac:dyDescent="0.25">
      <c r="A130" s="113"/>
      <c r="B130" s="179"/>
      <c r="C130" s="176" t="s">
        <v>136</v>
      </c>
      <c r="D130" s="40">
        <v>1.8029999999999999</v>
      </c>
      <c r="E130" s="41">
        <v>1731.9</v>
      </c>
      <c r="F130" s="41">
        <f t="shared" si="78"/>
        <v>3122.6156999999998</v>
      </c>
      <c r="G130" s="96">
        <v>2971.8</v>
      </c>
      <c r="H130" s="96">
        <v>1903.2</v>
      </c>
      <c r="I130" s="96">
        <v>564.4</v>
      </c>
      <c r="J130" s="43">
        <f>H130+I130</f>
        <v>2467.6</v>
      </c>
      <c r="K130" s="43">
        <f>80.7+24.4</f>
        <v>105.1</v>
      </c>
      <c r="L130" s="43">
        <v>105.1</v>
      </c>
      <c r="M130" s="43"/>
      <c r="N130" s="43">
        <f>G130+L130</f>
        <v>3076.9</v>
      </c>
      <c r="O130" s="43">
        <f>N130-F130</f>
        <v>-45.715699999999742</v>
      </c>
      <c r="P130" s="43">
        <v>1567.1</v>
      </c>
      <c r="Q130" s="96">
        <v>1203.5999999999999</v>
      </c>
      <c r="R130" s="96">
        <v>363.5</v>
      </c>
      <c r="S130" s="96"/>
      <c r="T130" s="44">
        <f t="shared" si="124"/>
        <v>1567.1</v>
      </c>
      <c r="U130" s="125"/>
      <c r="V130" s="125"/>
      <c r="W130" s="46">
        <f>U130+V130</f>
        <v>0</v>
      </c>
      <c r="X130" s="47">
        <v>5</v>
      </c>
      <c r="Y130" s="48">
        <v>9.5</v>
      </c>
      <c r="Z130" s="48">
        <v>5</v>
      </c>
      <c r="AA130" s="48">
        <v>0.72</v>
      </c>
      <c r="AB130" s="48"/>
      <c r="AC130" s="49">
        <f t="shared" si="125"/>
        <v>0</v>
      </c>
      <c r="AD130" s="50">
        <f t="shared" si="72"/>
        <v>5</v>
      </c>
      <c r="AE130" s="51">
        <f t="shared" si="73"/>
        <v>0</v>
      </c>
    </row>
    <row r="131" spans="1:31" ht="15.75" x14ac:dyDescent="0.25">
      <c r="A131" s="113">
        <v>35</v>
      </c>
      <c r="B131" s="179"/>
      <c r="C131" s="176" t="s">
        <v>137</v>
      </c>
      <c r="D131" s="40">
        <v>0.625</v>
      </c>
      <c r="E131" s="41">
        <v>3036.7</v>
      </c>
      <c r="F131" s="41">
        <f t="shared" si="78"/>
        <v>1897.9375</v>
      </c>
      <c r="G131" s="96">
        <v>1852</v>
      </c>
      <c r="H131" s="96">
        <v>1268.5999999999999</v>
      </c>
      <c r="I131" s="96">
        <v>377.3</v>
      </c>
      <c r="J131" s="43">
        <f>H131+I131</f>
        <v>1645.8999999999999</v>
      </c>
      <c r="K131" s="43">
        <f>35.3+10.6</f>
        <v>45.9</v>
      </c>
      <c r="L131" s="43">
        <v>45.9</v>
      </c>
      <c r="M131" s="43"/>
      <c r="N131" s="43">
        <f>G131+L131</f>
        <v>1897.9</v>
      </c>
      <c r="O131" s="43">
        <f>N131-F131</f>
        <v>-3.7499999999909051E-2</v>
      </c>
      <c r="P131" s="43">
        <v>750.5</v>
      </c>
      <c r="Q131" s="96">
        <v>577.29999999999995</v>
      </c>
      <c r="R131" s="96">
        <v>173.2</v>
      </c>
      <c r="S131" s="96"/>
      <c r="T131" s="44">
        <f t="shared" si="124"/>
        <v>750.5</v>
      </c>
      <c r="U131" s="125"/>
      <c r="V131" s="125"/>
      <c r="W131" s="46">
        <f>U131+V131</f>
        <v>0</v>
      </c>
      <c r="X131" s="47">
        <v>3</v>
      </c>
      <c r="Y131" s="48">
        <v>6.75</v>
      </c>
      <c r="Z131" s="48">
        <v>2</v>
      </c>
      <c r="AA131" s="48">
        <v>0.28999999999999998</v>
      </c>
      <c r="AB131" s="48"/>
      <c r="AC131" s="49">
        <f t="shared" si="125"/>
        <v>-1</v>
      </c>
      <c r="AD131" s="50">
        <f t="shared" si="72"/>
        <v>2</v>
      </c>
      <c r="AE131" s="51">
        <f t="shared" si="73"/>
        <v>-1</v>
      </c>
    </row>
    <row r="132" spans="1:31" ht="15.75" x14ac:dyDescent="0.25">
      <c r="A132" s="113"/>
      <c r="B132" s="179"/>
      <c r="C132" s="176" t="s">
        <v>138</v>
      </c>
      <c r="D132" s="40">
        <v>1.1719999999999999</v>
      </c>
      <c r="E132" s="41">
        <v>2291.5</v>
      </c>
      <c r="F132" s="41">
        <f t="shared" si="78"/>
        <v>2685.6379999999999</v>
      </c>
      <c r="G132" s="96">
        <v>2608.1</v>
      </c>
      <c r="H132" s="96">
        <v>1750.1</v>
      </c>
      <c r="I132" s="134">
        <v>523.1</v>
      </c>
      <c r="J132" s="43">
        <f>H132+I132</f>
        <v>2273.1999999999998</v>
      </c>
      <c r="K132" s="43">
        <f>59.5+18</f>
        <v>77.5</v>
      </c>
      <c r="L132" s="43">
        <v>77.5</v>
      </c>
      <c r="M132" s="43"/>
      <c r="N132" s="43">
        <f>G132+L132</f>
        <v>2685.6</v>
      </c>
      <c r="O132" s="43">
        <f>N132-F132</f>
        <v>-3.8000000000010914E-2</v>
      </c>
      <c r="P132" s="43">
        <v>1399.5</v>
      </c>
      <c r="Q132" s="96">
        <v>1077.7</v>
      </c>
      <c r="R132" s="96">
        <v>321.8</v>
      </c>
      <c r="S132" s="96"/>
      <c r="T132" s="44">
        <f t="shared" si="124"/>
        <v>1399.5</v>
      </c>
      <c r="U132" s="125"/>
      <c r="V132" s="125"/>
      <c r="W132" s="46">
        <f>U132+V132</f>
        <v>0</v>
      </c>
      <c r="X132" s="47">
        <v>4</v>
      </c>
      <c r="Y132" s="48">
        <v>8.5</v>
      </c>
      <c r="Z132" s="48">
        <v>4</v>
      </c>
      <c r="AA132" s="48">
        <v>0.32</v>
      </c>
      <c r="AB132" s="48"/>
      <c r="AC132" s="49">
        <f t="shared" si="125"/>
        <v>0</v>
      </c>
      <c r="AD132" s="50">
        <f t="shared" si="72"/>
        <v>4</v>
      </c>
      <c r="AE132" s="51">
        <f t="shared" si="73"/>
        <v>0</v>
      </c>
    </row>
    <row r="133" spans="1:31" ht="16.5" thickBot="1" x14ac:dyDescent="0.3">
      <c r="A133" s="113"/>
      <c r="B133" s="180"/>
      <c r="C133" s="127" t="s">
        <v>65</v>
      </c>
      <c r="D133" s="128">
        <f>ROUND(SUM(D128:D132),3)</f>
        <v>11.339</v>
      </c>
      <c r="E133" s="58"/>
      <c r="F133" s="58"/>
      <c r="G133" s="129">
        <f>ROUND(SUM(G128:G132),3)</f>
        <v>8880.9</v>
      </c>
      <c r="H133" s="129">
        <f t="shared" ref="H133:L133" si="126">ROUND(SUM(H128:H132),3)</f>
        <v>5992.5</v>
      </c>
      <c r="I133" s="129">
        <f t="shared" si="126"/>
        <v>1785.1</v>
      </c>
      <c r="J133" s="129">
        <f t="shared" si="126"/>
        <v>7361.7</v>
      </c>
      <c r="K133" s="129">
        <f t="shared" si="126"/>
        <v>278.8</v>
      </c>
      <c r="L133" s="129">
        <f t="shared" si="126"/>
        <v>278.8</v>
      </c>
      <c r="M133" s="129"/>
      <c r="N133" s="129">
        <f t="shared" ref="N133" si="127">ROUND(SUM(N129:N132),3)</f>
        <v>9159.7000000000007</v>
      </c>
      <c r="O133" s="60"/>
      <c r="P133" s="129">
        <f t="shared" ref="P133:T133" si="128">ROUND(SUM(P129:P132),3)</f>
        <v>4746.6000000000004</v>
      </c>
      <c r="Q133" s="129">
        <f t="shared" si="128"/>
        <v>3651.2</v>
      </c>
      <c r="R133" s="129">
        <f t="shared" si="128"/>
        <v>1095.4000000000001</v>
      </c>
      <c r="S133" s="129">
        <f t="shared" si="128"/>
        <v>0</v>
      </c>
      <c r="T133" s="129">
        <f t="shared" si="128"/>
        <v>4746.6000000000004</v>
      </c>
      <c r="U133" s="129">
        <f>ROUND(SUM(U129:U132),3)</f>
        <v>0</v>
      </c>
      <c r="V133" s="129">
        <f>ROUND(SUM(V129:V132),3)</f>
        <v>0</v>
      </c>
      <c r="W133" s="130">
        <f>ROUND(SUM(W129:W132),3)</f>
        <v>0</v>
      </c>
      <c r="X133" s="131"/>
      <c r="Y133" s="136">
        <f t="shared" ref="Y133:AB133" si="129">ROUND(SUM(Y129:Y132),3)</f>
        <v>30</v>
      </c>
      <c r="Z133" s="129">
        <f t="shared" si="129"/>
        <v>14</v>
      </c>
      <c r="AA133" s="129">
        <f t="shared" si="129"/>
        <v>1.65</v>
      </c>
      <c r="AB133" s="129">
        <f t="shared" si="129"/>
        <v>0</v>
      </c>
      <c r="AC133" s="65"/>
      <c r="AD133" s="67">
        <f t="shared" si="72"/>
        <v>14</v>
      </c>
      <c r="AE133" s="68"/>
    </row>
    <row r="134" spans="1:31" ht="15.75" x14ac:dyDescent="0.25">
      <c r="A134" s="113"/>
      <c r="B134" s="118" t="s">
        <v>53</v>
      </c>
      <c r="C134" s="119" t="s">
        <v>139</v>
      </c>
      <c r="D134" s="83">
        <v>24.661999999999999</v>
      </c>
      <c r="E134" s="84">
        <v>96.6</v>
      </c>
      <c r="F134" s="84">
        <f t="shared" ref="F134:F172" si="130">E134*D134</f>
        <v>2382.3491999999997</v>
      </c>
      <c r="G134" s="120">
        <v>2251.8000000000002</v>
      </c>
      <c r="H134" s="120">
        <v>1010.5</v>
      </c>
      <c r="I134" s="120">
        <v>305.39999999999998</v>
      </c>
      <c r="J134" s="86">
        <f>H134+I134</f>
        <v>1315.9</v>
      </c>
      <c r="K134" s="86"/>
      <c r="L134" s="86"/>
      <c r="M134" s="86"/>
      <c r="N134" s="86">
        <f>G134+L134</f>
        <v>2251.8000000000002</v>
      </c>
      <c r="O134" s="86">
        <f>N134-F134</f>
        <v>-130.54919999999947</v>
      </c>
      <c r="P134" s="86">
        <v>776.9</v>
      </c>
      <c r="Q134" s="120">
        <v>596.70000000000005</v>
      </c>
      <c r="R134" s="120">
        <v>180.2</v>
      </c>
      <c r="S134" s="120"/>
      <c r="T134" s="87">
        <f t="shared" ref="T134:T137" si="131">P134+S134</f>
        <v>776.9</v>
      </c>
      <c r="U134" s="121"/>
      <c r="V134" s="121"/>
      <c r="W134" s="89">
        <f>U134+V134</f>
        <v>0</v>
      </c>
      <c r="X134" s="90">
        <v>1</v>
      </c>
      <c r="Y134" s="32">
        <v>3</v>
      </c>
      <c r="Z134" s="32">
        <v>1</v>
      </c>
      <c r="AA134" s="32"/>
      <c r="AB134" s="32"/>
      <c r="AC134" s="91">
        <f t="shared" ref="AC134:AC137" si="132">(Z134+AB134)-X134</f>
        <v>0</v>
      </c>
      <c r="AD134" s="35">
        <f t="shared" si="72"/>
        <v>1</v>
      </c>
      <c r="AE134" s="92">
        <f t="shared" si="73"/>
        <v>0</v>
      </c>
    </row>
    <row r="135" spans="1:31" ht="15.75" x14ac:dyDescent="0.25">
      <c r="A135" s="113"/>
      <c r="B135" s="122"/>
      <c r="C135" s="163" t="s">
        <v>140</v>
      </c>
      <c r="D135" s="40">
        <v>3.6579999999999999</v>
      </c>
      <c r="E135" s="41">
        <v>1125.5999999999999</v>
      </c>
      <c r="F135" s="41">
        <f t="shared" si="130"/>
        <v>4117.4447999999993</v>
      </c>
      <c r="G135" s="96">
        <v>3639.4</v>
      </c>
      <c r="H135" s="96">
        <v>2497.4</v>
      </c>
      <c r="I135" s="96">
        <v>741.6</v>
      </c>
      <c r="J135" s="43">
        <f t="shared" ref="J135:J136" si="133">H135+I135</f>
        <v>3239</v>
      </c>
      <c r="K135" s="43">
        <f>230.4+69.6</f>
        <v>300</v>
      </c>
      <c r="L135" s="43">
        <v>300</v>
      </c>
      <c r="M135" s="43"/>
      <c r="N135" s="43">
        <f>G135+L135</f>
        <v>3939.4</v>
      </c>
      <c r="O135" s="43">
        <f>N135-F135</f>
        <v>-178.04479999999921</v>
      </c>
      <c r="P135" s="43">
        <v>2193.3000000000002</v>
      </c>
      <c r="Q135" s="96">
        <v>1688.4</v>
      </c>
      <c r="R135" s="96">
        <v>504.9</v>
      </c>
      <c r="S135" s="96"/>
      <c r="T135" s="44">
        <f t="shared" si="131"/>
        <v>2193.3000000000002</v>
      </c>
      <c r="U135" s="125"/>
      <c r="V135" s="125"/>
      <c r="W135" s="46">
        <f>U135+V135</f>
        <v>0</v>
      </c>
      <c r="X135" s="140">
        <v>5</v>
      </c>
      <c r="Y135" s="48">
        <v>10.1</v>
      </c>
      <c r="Z135" s="48">
        <v>5</v>
      </c>
      <c r="AA135" s="48">
        <v>1</v>
      </c>
      <c r="AB135" s="48"/>
      <c r="AC135" s="49">
        <f t="shared" si="132"/>
        <v>0</v>
      </c>
      <c r="AD135" s="50">
        <f t="shared" si="72"/>
        <v>5</v>
      </c>
      <c r="AE135" s="51">
        <f t="shared" si="73"/>
        <v>0</v>
      </c>
    </row>
    <row r="136" spans="1:31" ht="15.75" x14ac:dyDescent="0.25">
      <c r="A136" s="113"/>
      <c r="B136" s="122"/>
      <c r="C136" s="163" t="s">
        <v>141</v>
      </c>
      <c r="D136" s="40">
        <v>2.859</v>
      </c>
      <c r="E136" s="41">
        <v>1287.8</v>
      </c>
      <c r="F136" s="41">
        <f t="shared" si="130"/>
        <v>3681.8201999999997</v>
      </c>
      <c r="G136" s="96">
        <v>3101.8</v>
      </c>
      <c r="H136" s="96">
        <v>2307.6</v>
      </c>
      <c r="I136" s="96">
        <v>678.8</v>
      </c>
      <c r="J136" s="43">
        <f t="shared" si="133"/>
        <v>2986.3999999999996</v>
      </c>
      <c r="K136" s="43">
        <f>230.4+69.6</f>
        <v>300</v>
      </c>
      <c r="L136" s="43">
        <v>300</v>
      </c>
      <c r="M136" s="43"/>
      <c r="N136" s="43">
        <f>G136+L136</f>
        <v>3401.8</v>
      </c>
      <c r="O136" s="43">
        <f>N136-F136</f>
        <v>-280.02019999999948</v>
      </c>
      <c r="P136" s="43">
        <v>1198.5</v>
      </c>
      <c r="Q136" s="96">
        <v>907.9</v>
      </c>
      <c r="R136" s="96">
        <v>271.60000000000002</v>
      </c>
      <c r="S136" s="96">
        <v>300</v>
      </c>
      <c r="T136" s="44">
        <f t="shared" si="131"/>
        <v>1498.5</v>
      </c>
      <c r="U136" s="125"/>
      <c r="V136" s="125"/>
      <c r="W136" s="46">
        <f>U136+V136</f>
        <v>0</v>
      </c>
      <c r="X136" s="140">
        <v>5</v>
      </c>
      <c r="Y136" s="48">
        <v>9</v>
      </c>
      <c r="Z136" s="48">
        <v>2</v>
      </c>
      <c r="AA136" s="48">
        <v>1</v>
      </c>
      <c r="AB136" s="48">
        <v>1</v>
      </c>
      <c r="AC136" s="49">
        <f t="shared" si="132"/>
        <v>-2</v>
      </c>
      <c r="AD136" s="50">
        <f t="shared" si="72"/>
        <v>3</v>
      </c>
      <c r="AE136" s="51">
        <f t="shared" si="73"/>
        <v>-2</v>
      </c>
    </row>
    <row r="137" spans="1:31" ht="15.75" x14ac:dyDescent="0.25">
      <c r="A137" s="113"/>
      <c r="B137" s="122"/>
      <c r="C137" s="163" t="s">
        <v>142</v>
      </c>
      <c r="D137" s="40">
        <v>2.4020000000000001</v>
      </c>
      <c r="E137" s="41">
        <v>1588.5</v>
      </c>
      <c r="F137" s="41">
        <f t="shared" si="130"/>
        <v>3815.5770000000002</v>
      </c>
      <c r="G137" s="96">
        <v>3267.1</v>
      </c>
      <c r="H137" s="96">
        <v>2433.6</v>
      </c>
      <c r="I137" s="96">
        <v>741.6</v>
      </c>
      <c r="J137" s="43">
        <f>H137+I137</f>
        <v>3175.2</v>
      </c>
      <c r="K137" s="43">
        <f>230.4+69.6</f>
        <v>300</v>
      </c>
      <c r="L137" s="43">
        <v>300</v>
      </c>
      <c r="M137" s="43"/>
      <c r="N137" s="43">
        <f>G137+L137</f>
        <v>3567.1</v>
      </c>
      <c r="O137" s="43">
        <f>N137-F137</f>
        <v>-248.47700000000032</v>
      </c>
      <c r="P137" s="43">
        <v>1332.9</v>
      </c>
      <c r="Q137" s="96">
        <v>1005.4</v>
      </c>
      <c r="R137" s="96">
        <v>327.60000000000002</v>
      </c>
      <c r="S137" s="96">
        <v>300</v>
      </c>
      <c r="T137" s="44">
        <f t="shared" si="131"/>
        <v>1632.9</v>
      </c>
      <c r="U137" s="125"/>
      <c r="V137" s="125"/>
      <c r="W137" s="46">
        <f>U137+V137</f>
        <v>0</v>
      </c>
      <c r="X137" s="140">
        <v>5</v>
      </c>
      <c r="Y137" s="48">
        <v>14</v>
      </c>
      <c r="Z137" s="48">
        <v>3</v>
      </c>
      <c r="AA137" s="48">
        <v>1</v>
      </c>
      <c r="AB137" s="48">
        <v>1</v>
      </c>
      <c r="AC137" s="49">
        <f t="shared" si="132"/>
        <v>-1</v>
      </c>
      <c r="AD137" s="50">
        <f t="shared" si="72"/>
        <v>4</v>
      </c>
      <c r="AE137" s="51">
        <f t="shared" si="73"/>
        <v>-1</v>
      </c>
    </row>
    <row r="138" spans="1:31" ht="16.5" thickBot="1" x14ac:dyDescent="0.3">
      <c r="A138" s="113"/>
      <c r="B138" s="126"/>
      <c r="C138" s="127" t="s">
        <v>65</v>
      </c>
      <c r="D138" s="128">
        <f t="shared" ref="D138" si="134">D134+D135+D136+D137</f>
        <v>33.581000000000003</v>
      </c>
      <c r="E138" s="58"/>
      <c r="F138" s="58"/>
      <c r="G138" s="129">
        <f t="shared" ref="G138:I138" si="135">ROUND(SUM(G134:G137),3)</f>
        <v>12260.1</v>
      </c>
      <c r="H138" s="129">
        <f t="shared" si="135"/>
        <v>8249.1</v>
      </c>
      <c r="I138" s="129">
        <f t="shared" si="135"/>
        <v>2467.4</v>
      </c>
      <c r="J138" s="129">
        <f t="shared" ref="J138:W138" si="136">ROUND(SUM(J134:J137),3)</f>
        <v>10716.5</v>
      </c>
      <c r="K138" s="129">
        <f t="shared" si="136"/>
        <v>900</v>
      </c>
      <c r="L138" s="129">
        <f t="shared" si="136"/>
        <v>900</v>
      </c>
      <c r="M138" s="129"/>
      <c r="N138" s="129">
        <f>ROUND(SUM(N134:N137),3)</f>
        <v>13160.1</v>
      </c>
      <c r="O138" s="60"/>
      <c r="P138" s="129">
        <f t="shared" ref="P138:T138" si="137">ROUND(SUM(P134:P137),3)</f>
        <v>5501.6</v>
      </c>
      <c r="Q138" s="129">
        <f t="shared" si="137"/>
        <v>4198.3999999999996</v>
      </c>
      <c r="R138" s="129">
        <f t="shared" si="137"/>
        <v>1284.3</v>
      </c>
      <c r="S138" s="129">
        <f t="shared" si="137"/>
        <v>600</v>
      </c>
      <c r="T138" s="129">
        <f t="shared" si="137"/>
        <v>6101.6</v>
      </c>
      <c r="U138" s="129">
        <f t="shared" si="136"/>
        <v>0</v>
      </c>
      <c r="V138" s="129">
        <f t="shared" si="136"/>
        <v>0</v>
      </c>
      <c r="W138" s="130">
        <f t="shared" si="136"/>
        <v>0</v>
      </c>
      <c r="X138" s="131"/>
      <c r="Y138" s="129">
        <f t="shared" ref="Y138:AB138" si="138">ROUND(SUM(Y134:Y137),3)</f>
        <v>36.1</v>
      </c>
      <c r="Z138" s="129">
        <f t="shared" si="138"/>
        <v>11</v>
      </c>
      <c r="AA138" s="129">
        <f t="shared" si="138"/>
        <v>3</v>
      </c>
      <c r="AB138" s="129">
        <f t="shared" si="138"/>
        <v>2</v>
      </c>
      <c r="AC138" s="65"/>
      <c r="AD138" s="67">
        <f t="shared" si="72"/>
        <v>13</v>
      </c>
      <c r="AE138" s="68"/>
    </row>
    <row r="139" spans="1:31" ht="15.75" x14ac:dyDescent="0.25">
      <c r="A139" s="113"/>
      <c r="B139" s="155" t="s">
        <v>54</v>
      </c>
      <c r="C139" s="132" t="s">
        <v>143</v>
      </c>
      <c r="D139" s="156">
        <v>5.05</v>
      </c>
      <c r="E139" s="84">
        <v>0</v>
      </c>
      <c r="F139" s="84">
        <v>0</v>
      </c>
      <c r="G139" s="157"/>
      <c r="H139" s="157"/>
      <c r="I139" s="157"/>
      <c r="J139" s="157"/>
      <c r="K139" s="157"/>
      <c r="L139" s="157"/>
      <c r="M139" s="157"/>
      <c r="N139" s="157">
        <v>0</v>
      </c>
      <c r="O139" s="86">
        <v>0</v>
      </c>
      <c r="P139" s="157"/>
      <c r="Q139" s="157"/>
      <c r="R139" s="157"/>
      <c r="S139" s="157"/>
      <c r="T139" s="157"/>
      <c r="U139" s="157"/>
      <c r="V139" s="157"/>
      <c r="W139" s="158"/>
      <c r="X139" s="178">
        <v>0</v>
      </c>
      <c r="Y139" s="157"/>
      <c r="Z139" s="157"/>
      <c r="AA139" s="157"/>
      <c r="AB139" s="157"/>
      <c r="AC139" s="157"/>
      <c r="AD139" s="157">
        <v>0</v>
      </c>
      <c r="AE139" s="159">
        <v>0</v>
      </c>
    </row>
    <row r="140" spans="1:31" ht="15.75" x14ac:dyDescent="0.25">
      <c r="A140" s="113"/>
      <c r="B140" s="160"/>
      <c r="C140" s="123" t="s">
        <v>144</v>
      </c>
      <c r="D140" s="40">
        <v>1.5369999999999999</v>
      </c>
      <c r="E140" s="41">
        <v>1582.8</v>
      </c>
      <c r="F140" s="41">
        <f t="shared" si="130"/>
        <v>2432.7635999999998</v>
      </c>
      <c r="G140" s="96">
        <v>2314.6</v>
      </c>
      <c r="H140" s="96">
        <v>1103.0999999999999</v>
      </c>
      <c r="I140" s="96">
        <v>438.5</v>
      </c>
      <c r="J140" s="43">
        <f t="shared" ref="J140:J144" si="139">H140+I140</f>
        <v>1541.6</v>
      </c>
      <c r="K140" s="43"/>
      <c r="L140" s="43"/>
      <c r="M140" s="43"/>
      <c r="N140" s="43">
        <f>G140+L140</f>
        <v>2314.6</v>
      </c>
      <c r="O140" s="43">
        <f>N140-F140</f>
        <v>-118.16359999999986</v>
      </c>
      <c r="P140" s="43">
        <v>682.7</v>
      </c>
      <c r="Q140" s="96">
        <v>519.20000000000005</v>
      </c>
      <c r="R140" s="96">
        <v>163.5</v>
      </c>
      <c r="S140" s="96"/>
      <c r="T140" s="44">
        <f t="shared" ref="T140:T144" si="140">P140+S140</f>
        <v>682.7</v>
      </c>
      <c r="U140" s="125"/>
      <c r="V140" s="125"/>
      <c r="W140" s="46">
        <f>U140+V140</f>
        <v>0</v>
      </c>
      <c r="X140" s="47">
        <v>4</v>
      </c>
      <c r="Y140" s="48">
        <v>4.5</v>
      </c>
      <c r="Z140" s="48">
        <v>2</v>
      </c>
      <c r="AA140" s="48"/>
      <c r="AB140" s="48"/>
      <c r="AC140" s="49">
        <f t="shared" ref="AC140:AC144" si="141">(Z140+AB140)-X140</f>
        <v>-2</v>
      </c>
      <c r="AD140" s="50">
        <f t="shared" si="72"/>
        <v>2</v>
      </c>
      <c r="AE140" s="51">
        <f t="shared" si="73"/>
        <v>-2</v>
      </c>
    </row>
    <row r="141" spans="1:31" ht="15.75" x14ac:dyDescent="0.25">
      <c r="A141" s="113"/>
      <c r="B141" s="160"/>
      <c r="C141" s="123" t="s">
        <v>145</v>
      </c>
      <c r="D141" s="40">
        <v>1.5049999999999999</v>
      </c>
      <c r="E141" s="41">
        <v>1610.2</v>
      </c>
      <c r="F141" s="41">
        <f t="shared" si="130"/>
        <v>2423.3510000000001</v>
      </c>
      <c r="G141" s="96">
        <v>2415.1</v>
      </c>
      <c r="H141" s="96">
        <v>1598.6</v>
      </c>
      <c r="I141" s="96">
        <v>496.2</v>
      </c>
      <c r="J141" s="43">
        <f t="shared" si="139"/>
        <v>2094.7999999999997</v>
      </c>
      <c r="K141" s="43"/>
      <c r="L141" s="43"/>
      <c r="M141" s="43"/>
      <c r="N141" s="43">
        <f>G141+L141</f>
        <v>2415.1</v>
      </c>
      <c r="O141" s="43">
        <f>N141-F141</f>
        <v>-8.2510000000002037</v>
      </c>
      <c r="P141" s="43">
        <v>947.2</v>
      </c>
      <c r="Q141" s="96">
        <v>727.5</v>
      </c>
      <c r="R141" s="96">
        <v>219.7</v>
      </c>
      <c r="S141" s="96"/>
      <c r="T141" s="44">
        <f t="shared" si="140"/>
        <v>947.2</v>
      </c>
      <c r="U141" s="125"/>
      <c r="V141" s="125"/>
      <c r="W141" s="46">
        <f>U141+V141</f>
        <v>0</v>
      </c>
      <c r="X141" s="47">
        <v>4</v>
      </c>
      <c r="Y141" s="48">
        <v>7.7</v>
      </c>
      <c r="Z141" s="48">
        <v>3</v>
      </c>
      <c r="AA141" s="48"/>
      <c r="AB141" s="48"/>
      <c r="AC141" s="49">
        <f t="shared" si="141"/>
        <v>-1</v>
      </c>
      <c r="AD141" s="50">
        <f t="shared" si="72"/>
        <v>3</v>
      </c>
      <c r="AE141" s="51">
        <f t="shared" si="73"/>
        <v>-1</v>
      </c>
    </row>
    <row r="142" spans="1:31" ht="15.75" x14ac:dyDescent="0.25">
      <c r="A142" s="113"/>
      <c r="B142" s="160"/>
      <c r="C142" s="123" t="s">
        <v>146</v>
      </c>
      <c r="D142" s="40">
        <v>1.097</v>
      </c>
      <c r="E142" s="41">
        <v>2066.5</v>
      </c>
      <c r="F142" s="41">
        <f t="shared" si="130"/>
        <v>2266.9504999999999</v>
      </c>
      <c r="G142" s="96">
        <v>2260.6</v>
      </c>
      <c r="H142" s="96">
        <v>1284.3</v>
      </c>
      <c r="I142" s="96">
        <v>388.5</v>
      </c>
      <c r="J142" s="43">
        <f t="shared" si="139"/>
        <v>1672.8</v>
      </c>
      <c r="K142" s="43"/>
      <c r="L142" s="43"/>
      <c r="M142" s="43"/>
      <c r="N142" s="43">
        <f>G142+L142</f>
        <v>2260.6</v>
      </c>
      <c r="O142" s="43">
        <f>N142-F142</f>
        <v>-6.3505000000000109</v>
      </c>
      <c r="P142" s="43">
        <v>1142.9000000000001</v>
      </c>
      <c r="Q142" s="96">
        <v>878.5</v>
      </c>
      <c r="R142" s="96">
        <v>260.39999999999998</v>
      </c>
      <c r="S142" s="96"/>
      <c r="T142" s="44">
        <f t="shared" si="140"/>
        <v>1142.9000000000001</v>
      </c>
      <c r="U142" s="125"/>
      <c r="V142" s="125"/>
      <c r="W142" s="46">
        <f>U142+V142</f>
        <v>0</v>
      </c>
      <c r="X142" s="47">
        <v>4</v>
      </c>
      <c r="Y142" s="48">
        <v>7.5</v>
      </c>
      <c r="Z142" s="48">
        <v>4</v>
      </c>
      <c r="AA142" s="48"/>
      <c r="AB142" s="48"/>
      <c r="AC142" s="49">
        <f t="shared" si="141"/>
        <v>0</v>
      </c>
      <c r="AD142" s="50">
        <f t="shared" si="72"/>
        <v>4</v>
      </c>
      <c r="AE142" s="51">
        <f t="shared" si="73"/>
        <v>0</v>
      </c>
    </row>
    <row r="143" spans="1:31" ht="15.75" x14ac:dyDescent="0.25">
      <c r="A143" s="113">
        <v>36</v>
      </c>
      <c r="B143" s="160"/>
      <c r="C143" s="123" t="s">
        <v>147</v>
      </c>
      <c r="D143" s="40">
        <v>0.64600000000000002</v>
      </c>
      <c r="E143" s="41">
        <v>2086.4</v>
      </c>
      <c r="F143" s="41">
        <f t="shared" si="130"/>
        <v>1347.8144000000002</v>
      </c>
      <c r="G143" s="96">
        <v>1345.7</v>
      </c>
      <c r="H143" s="96">
        <v>648.5</v>
      </c>
      <c r="I143" s="96">
        <v>197.2</v>
      </c>
      <c r="J143" s="43">
        <f t="shared" si="139"/>
        <v>845.7</v>
      </c>
      <c r="K143" s="43"/>
      <c r="L143" s="43"/>
      <c r="M143" s="43"/>
      <c r="N143" s="43">
        <f>G143+L143</f>
        <v>1345.7</v>
      </c>
      <c r="O143" s="43">
        <f>N143-F143</f>
        <v>-2.1144000000001597</v>
      </c>
      <c r="P143" s="43">
        <v>623.1</v>
      </c>
      <c r="Q143" s="96">
        <v>479.8</v>
      </c>
      <c r="R143" s="96">
        <v>143.30000000000001</v>
      </c>
      <c r="S143" s="96"/>
      <c r="T143" s="44">
        <f t="shared" si="140"/>
        <v>623.1</v>
      </c>
      <c r="U143" s="125"/>
      <c r="V143" s="125"/>
      <c r="W143" s="46">
        <f>U143+V143</f>
        <v>0</v>
      </c>
      <c r="X143" s="47">
        <v>3</v>
      </c>
      <c r="Y143" s="48">
        <v>4</v>
      </c>
      <c r="Z143" s="48">
        <v>3</v>
      </c>
      <c r="AA143" s="48"/>
      <c r="AB143" s="48"/>
      <c r="AC143" s="49">
        <f t="shared" si="141"/>
        <v>0</v>
      </c>
      <c r="AD143" s="50">
        <f t="shared" si="72"/>
        <v>3</v>
      </c>
      <c r="AE143" s="51">
        <f t="shared" si="73"/>
        <v>0</v>
      </c>
    </row>
    <row r="144" spans="1:31" ht="15.75" x14ac:dyDescent="0.25">
      <c r="A144" s="113"/>
      <c r="B144" s="160"/>
      <c r="C144" s="123" t="s">
        <v>148</v>
      </c>
      <c r="D144" s="40">
        <v>1.131</v>
      </c>
      <c r="E144" s="41">
        <v>1705.5</v>
      </c>
      <c r="F144" s="41">
        <f t="shared" si="130"/>
        <v>1928.9204999999999</v>
      </c>
      <c r="G144" s="96">
        <v>1733.4</v>
      </c>
      <c r="H144" s="96">
        <v>1082.4000000000001</v>
      </c>
      <c r="I144" s="96">
        <v>340.1</v>
      </c>
      <c r="J144" s="43">
        <f t="shared" si="139"/>
        <v>1422.5</v>
      </c>
      <c r="K144" s="43"/>
      <c r="L144" s="43"/>
      <c r="M144" s="43"/>
      <c r="N144" s="43">
        <f>G144+L144</f>
        <v>1733.4</v>
      </c>
      <c r="O144" s="43">
        <f>N144-F144</f>
        <v>-195.52049999999986</v>
      </c>
      <c r="P144" s="43">
        <v>1063.5999999999999</v>
      </c>
      <c r="Q144" s="96">
        <v>806.8</v>
      </c>
      <c r="R144" s="96">
        <v>256.89999999999998</v>
      </c>
      <c r="S144" s="96"/>
      <c r="T144" s="44">
        <f t="shared" si="140"/>
        <v>1063.5999999999999</v>
      </c>
      <c r="U144" s="125"/>
      <c r="V144" s="125"/>
      <c r="W144" s="46">
        <f>U144+V144</f>
        <v>0</v>
      </c>
      <c r="X144" s="47">
        <v>4</v>
      </c>
      <c r="Y144" s="48">
        <v>4</v>
      </c>
      <c r="Z144" s="48">
        <v>3</v>
      </c>
      <c r="AA144" s="48"/>
      <c r="AB144" s="48"/>
      <c r="AC144" s="49">
        <f t="shared" si="141"/>
        <v>-1</v>
      </c>
      <c r="AD144" s="50">
        <f t="shared" si="72"/>
        <v>3</v>
      </c>
      <c r="AE144" s="51">
        <f t="shared" si="73"/>
        <v>-1</v>
      </c>
    </row>
    <row r="145" spans="1:31" ht="16.5" thickBot="1" x14ac:dyDescent="0.3">
      <c r="A145" s="113"/>
      <c r="B145" s="161"/>
      <c r="C145" s="127" t="s">
        <v>65</v>
      </c>
      <c r="D145" s="128">
        <f>ROUND(SUM(D139:D144),3)</f>
        <v>10.965999999999999</v>
      </c>
      <c r="E145" s="58"/>
      <c r="F145" s="58"/>
      <c r="G145" s="129">
        <f t="shared" ref="G145:N145" si="142">ROUND(SUM(G140:G144),3)</f>
        <v>10069.4</v>
      </c>
      <c r="H145" s="129">
        <f t="shared" si="142"/>
        <v>5716.9</v>
      </c>
      <c r="I145" s="129">
        <f t="shared" si="142"/>
        <v>1860.5</v>
      </c>
      <c r="J145" s="129">
        <f t="shared" si="142"/>
        <v>7577.4</v>
      </c>
      <c r="K145" s="129"/>
      <c r="L145" s="129">
        <f t="shared" si="142"/>
        <v>0</v>
      </c>
      <c r="M145" s="129"/>
      <c r="N145" s="129">
        <f t="shared" si="142"/>
        <v>10069.4</v>
      </c>
      <c r="O145" s="60"/>
      <c r="P145" s="129">
        <f t="shared" ref="P145:T145" si="143">ROUND(SUM(P140:P144),3)</f>
        <v>4459.5</v>
      </c>
      <c r="Q145" s="129">
        <f t="shared" si="143"/>
        <v>3411.8</v>
      </c>
      <c r="R145" s="129">
        <f t="shared" si="143"/>
        <v>1043.8</v>
      </c>
      <c r="S145" s="129">
        <f t="shared" si="143"/>
        <v>0</v>
      </c>
      <c r="T145" s="129">
        <f t="shared" si="143"/>
        <v>4459.5</v>
      </c>
      <c r="U145" s="129">
        <f>ROUND(SUM(U140:U144),3)</f>
        <v>0</v>
      </c>
      <c r="V145" s="129">
        <f>ROUND(SUM(V140:V144),3)</f>
        <v>0</v>
      </c>
      <c r="W145" s="130">
        <f>ROUND(SUM(W140:W144),3)</f>
        <v>0</v>
      </c>
      <c r="X145" s="131"/>
      <c r="Y145" s="129">
        <f t="shared" ref="Y145:AB145" si="144">ROUND(SUM(Y140:Y144),3)</f>
        <v>27.7</v>
      </c>
      <c r="Z145" s="129">
        <f t="shared" si="144"/>
        <v>15</v>
      </c>
      <c r="AA145" s="129">
        <f t="shared" si="144"/>
        <v>0</v>
      </c>
      <c r="AB145" s="129">
        <f t="shared" si="144"/>
        <v>0</v>
      </c>
      <c r="AC145" s="154"/>
      <c r="AD145" s="67">
        <f t="shared" si="72"/>
        <v>15</v>
      </c>
      <c r="AE145" s="68"/>
    </row>
    <row r="146" spans="1:31" ht="15.75" x14ac:dyDescent="0.25">
      <c r="A146" s="113"/>
      <c r="B146" s="181" t="s">
        <v>55</v>
      </c>
      <c r="C146" s="119" t="s">
        <v>149</v>
      </c>
      <c r="D146" s="83">
        <v>3.2410000000000001</v>
      </c>
      <c r="E146" s="84">
        <v>1205.5</v>
      </c>
      <c r="F146" s="84">
        <f t="shared" si="130"/>
        <v>3907.0255000000002</v>
      </c>
      <c r="G146" s="120">
        <v>3897</v>
      </c>
      <c r="H146" s="120">
        <v>2555.6999999999998</v>
      </c>
      <c r="I146" s="120">
        <v>766.1</v>
      </c>
      <c r="J146" s="86">
        <f t="shared" ref="J146:J151" si="145">H146+I146</f>
        <v>3321.7999999999997</v>
      </c>
      <c r="K146" s="86">
        <f>7.7+2.3</f>
        <v>10</v>
      </c>
      <c r="L146" s="86">
        <v>10</v>
      </c>
      <c r="M146" s="86"/>
      <c r="N146" s="86">
        <f t="shared" ref="N146:N151" si="146">G146+L146</f>
        <v>3907</v>
      </c>
      <c r="O146" s="86">
        <f t="shared" ref="O146:O151" si="147">N146-F146</f>
        <v>-2.5500000000192813E-2</v>
      </c>
      <c r="P146" s="86">
        <v>2131.1</v>
      </c>
      <c r="Q146" s="120">
        <v>1636.8</v>
      </c>
      <c r="R146" s="120">
        <v>494.3</v>
      </c>
      <c r="S146" s="120">
        <v>10</v>
      </c>
      <c r="T146" s="87">
        <f t="shared" ref="T146:T151" si="148">P146+S146</f>
        <v>2141.1</v>
      </c>
      <c r="U146" s="121"/>
      <c r="V146" s="121"/>
      <c r="W146" s="89">
        <f t="shared" ref="W146:W151" si="149">U146+V146</f>
        <v>0</v>
      </c>
      <c r="X146" s="90">
        <v>6</v>
      </c>
      <c r="Y146" s="32">
        <v>13</v>
      </c>
      <c r="Z146" s="32">
        <v>5.9</v>
      </c>
      <c r="AA146" s="32">
        <v>0.1</v>
      </c>
      <c r="AB146" s="32">
        <v>0.1</v>
      </c>
      <c r="AC146" s="91">
        <f t="shared" ref="AC146:AC151" si="150">(Z146+AB146)-X146</f>
        <v>0</v>
      </c>
      <c r="AD146" s="35">
        <f t="shared" si="72"/>
        <v>6</v>
      </c>
      <c r="AE146" s="92">
        <f t="shared" si="73"/>
        <v>0</v>
      </c>
    </row>
    <row r="147" spans="1:31" ht="15.75" x14ac:dyDescent="0.25">
      <c r="A147" s="113"/>
      <c r="B147" s="182"/>
      <c r="C147" s="183" t="s">
        <v>150</v>
      </c>
      <c r="D147" s="40">
        <v>1.7470000000000001</v>
      </c>
      <c r="E147" s="41">
        <v>1842.9</v>
      </c>
      <c r="F147" s="41">
        <f t="shared" si="130"/>
        <v>3219.5463000000004</v>
      </c>
      <c r="G147" s="96">
        <v>3219.5</v>
      </c>
      <c r="H147" s="96">
        <v>2256.1999999999998</v>
      </c>
      <c r="I147" s="96">
        <v>671</v>
      </c>
      <c r="J147" s="43">
        <f t="shared" si="145"/>
        <v>2927.2</v>
      </c>
      <c r="K147" s="43"/>
      <c r="L147" s="43"/>
      <c r="M147" s="43"/>
      <c r="N147" s="43">
        <f t="shared" si="146"/>
        <v>3219.5</v>
      </c>
      <c r="O147" s="43">
        <f t="shared" si="147"/>
        <v>-4.6300000000428554E-2</v>
      </c>
      <c r="P147" s="43">
        <v>1990.3</v>
      </c>
      <c r="Q147" s="96">
        <v>1536.6</v>
      </c>
      <c r="R147" s="96">
        <v>453.7</v>
      </c>
      <c r="S147" s="96"/>
      <c r="T147" s="44">
        <f t="shared" si="148"/>
        <v>1990.3</v>
      </c>
      <c r="U147" s="125"/>
      <c r="V147" s="125"/>
      <c r="W147" s="46">
        <f t="shared" si="149"/>
        <v>0</v>
      </c>
      <c r="X147" s="47">
        <v>5</v>
      </c>
      <c r="Y147" s="48">
        <v>9</v>
      </c>
      <c r="Z147" s="48">
        <v>5</v>
      </c>
      <c r="AA147" s="48"/>
      <c r="AB147" s="48"/>
      <c r="AC147" s="49">
        <f t="shared" si="150"/>
        <v>0</v>
      </c>
      <c r="AD147" s="50">
        <f t="shared" si="72"/>
        <v>5</v>
      </c>
      <c r="AE147" s="51">
        <f t="shared" si="73"/>
        <v>0</v>
      </c>
    </row>
    <row r="148" spans="1:31" ht="15.75" x14ac:dyDescent="0.25">
      <c r="A148" s="113"/>
      <c r="B148" s="182"/>
      <c r="C148" s="123" t="s">
        <v>151</v>
      </c>
      <c r="D148" s="40">
        <v>1.004</v>
      </c>
      <c r="E148" s="41">
        <v>2664.2</v>
      </c>
      <c r="F148" s="41">
        <f t="shared" si="130"/>
        <v>2674.8568</v>
      </c>
      <c r="G148" s="96">
        <v>2187.9</v>
      </c>
      <c r="H148" s="96">
        <v>1466.1</v>
      </c>
      <c r="I148" s="96">
        <v>425</v>
      </c>
      <c r="J148" s="43">
        <f t="shared" si="145"/>
        <v>1891.1</v>
      </c>
      <c r="K148" s="43"/>
      <c r="L148" s="43"/>
      <c r="M148" s="43"/>
      <c r="N148" s="43">
        <f t="shared" si="146"/>
        <v>2187.9</v>
      </c>
      <c r="O148" s="43">
        <f t="shared" si="147"/>
        <v>-486.95679999999993</v>
      </c>
      <c r="P148" s="43">
        <v>964.9</v>
      </c>
      <c r="Q148" s="96">
        <v>743.1</v>
      </c>
      <c r="R148" s="96">
        <v>221.8</v>
      </c>
      <c r="S148" s="96"/>
      <c r="T148" s="44">
        <f t="shared" si="148"/>
        <v>964.9</v>
      </c>
      <c r="U148" s="125"/>
      <c r="V148" s="125"/>
      <c r="W148" s="46">
        <f t="shared" si="149"/>
        <v>0</v>
      </c>
      <c r="X148" s="47">
        <v>4</v>
      </c>
      <c r="Y148" s="48">
        <v>7.5</v>
      </c>
      <c r="Z148" s="48">
        <v>3</v>
      </c>
      <c r="AA148" s="48"/>
      <c r="AB148" s="48"/>
      <c r="AC148" s="49">
        <f t="shared" si="150"/>
        <v>-1</v>
      </c>
      <c r="AD148" s="50">
        <f t="shared" si="72"/>
        <v>3</v>
      </c>
      <c r="AE148" s="51">
        <f t="shared" si="73"/>
        <v>-1</v>
      </c>
    </row>
    <row r="149" spans="1:31" ht="15.75" x14ac:dyDescent="0.25">
      <c r="A149" s="113"/>
      <c r="B149" s="182"/>
      <c r="C149" s="184" t="s">
        <v>152</v>
      </c>
      <c r="D149" s="40">
        <v>1.9390000000000001</v>
      </c>
      <c r="E149" s="41">
        <v>1763.3</v>
      </c>
      <c r="F149" s="41">
        <f t="shared" si="130"/>
        <v>3419.0387000000001</v>
      </c>
      <c r="G149" s="96">
        <v>3419</v>
      </c>
      <c r="H149" s="96">
        <v>2228.8000000000002</v>
      </c>
      <c r="I149" s="96">
        <v>666.1</v>
      </c>
      <c r="J149" s="43">
        <f t="shared" si="145"/>
        <v>2894.9</v>
      </c>
      <c r="K149" s="43"/>
      <c r="L149" s="43"/>
      <c r="M149" s="43"/>
      <c r="N149" s="43">
        <f t="shared" si="146"/>
        <v>3419</v>
      </c>
      <c r="O149" s="43">
        <f t="shared" si="147"/>
        <v>-3.8700000000062573E-2</v>
      </c>
      <c r="P149" s="43">
        <v>1662</v>
      </c>
      <c r="Q149" s="96">
        <v>1298.5</v>
      </c>
      <c r="R149" s="96">
        <v>363.5</v>
      </c>
      <c r="S149" s="96"/>
      <c r="T149" s="44">
        <f t="shared" si="148"/>
        <v>1662</v>
      </c>
      <c r="U149" s="125"/>
      <c r="V149" s="125"/>
      <c r="W149" s="46">
        <f t="shared" si="149"/>
        <v>0</v>
      </c>
      <c r="X149" s="185">
        <v>5</v>
      </c>
      <c r="Y149" s="48">
        <v>12</v>
      </c>
      <c r="Z149" s="48">
        <v>5</v>
      </c>
      <c r="AA149" s="48"/>
      <c r="AB149" s="48"/>
      <c r="AC149" s="49">
        <f t="shared" si="150"/>
        <v>0</v>
      </c>
      <c r="AD149" s="50">
        <f t="shared" si="72"/>
        <v>5</v>
      </c>
      <c r="AE149" s="51">
        <f t="shared" si="73"/>
        <v>0</v>
      </c>
    </row>
    <row r="150" spans="1:31" ht="15.75" x14ac:dyDescent="0.25">
      <c r="A150" s="113"/>
      <c r="B150" s="182"/>
      <c r="C150" s="183" t="s">
        <v>153</v>
      </c>
      <c r="D150" s="40">
        <v>1.224</v>
      </c>
      <c r="E150" s="41">
        <v>1657.7</v>
      </c>
      <c r="F150" s="41">
        <f t="shared" si="130"/>
        <v>2029.0247999999999</v>
      </c>
      <c r="G150" s="96">
        <v>2342.6999999999998</v>
      </c>
      <c r="H150" s="96">
        <v>1637.8</v>
      </c>
      <c r="I150" s="96">
        <v>545.20000000000005</v>
      </c>
      <c r="J150" s="43">
        <f t="shared" si="145"/>
        <v>2183</v>
      </c>
      <c r="K150" s="43"/>
      <c r="L150" s="43"/>
      <c r="M150" s="43"/>
      <c r="N150" s="43">
        <f t="shared" si="146"/>
        <v>2342.6999999999998</v>
      </c>
      <c r="O150" s="153">
        <f t="shared" si="147"/>
        <v>313.6751999999999</v>
      </c>
      <c r="P150" s="43">
        <v>1169</v>
      </c>
      <c r="Q150" s="96">
        <v>852.3</v>
      </c>
      <c r="R150" s="96">
        <v>316.7</v>
      </c>
      <c r="S150" s="96"/>
      <c r="T150" s="44">
        <f t="shared" si="148"/>
        <v>1169</v>
      </c>
      <c r="U150" s="125"/>
      <c r="V150" s="125"/>
      <c r="W150" s="46">
        <f t="shared" si="149"/>
        <v>0</v>
      </c>
      <c r="X150" s="47">
        <v>4</v>
      </c>
      <c r="Y150" s="48">
        <v>7.5</v>
      </c>
      <c r="Z150" s="48">
        <v>3</v>
      </c>
      <c r="AA150" s="48"/>
      <c r="AB150" s="48"/>
      <c r="AC150" s="49">
        <f t="shared" si="150"/>
        <v>-1</v>
      </c>
      <c r="AD150" s="50">
        <f t="shared" ref="AD150:AD173" si="151">Z150+AB150</f>
        <v>3</v>
      </c>
      <c r="AE150" s="51">
        <f t="shared" ref="AE150:AE172" si="152">AD150-X150</f>
        <v>-1</v>
      </c>
    </row>
    <row r="151" spans="1:31" ht="15.75" x14ac:dyDescent="0.25">
      <c r="A151" s="113"/>
      <c r="B151" s="182"/>
      <c r="C151" s="163" t="s">
        <v>154</v>
      </c>
      <c r="D151" s="40">
        <v>2.157</v>
      </c>
      <c r="E151" s="41">
        <v>1654.9</v>
      </c>
      <c r="F151" s="41">
        <f t="shared" si="130"/>
        <v>3569.6193000000003</v>
      </c>
      <c r="G151" s="96">
        <v>3569.6</v>
      </c>
      <c r="H151" s="96">
        <v>2250.9</v>
      </c>
      <c r="I151" s="96">
        <v>684.9</v>
      </c>
      <c r="J151" s="43">
        <f t="shared" si="145"/>
        <v>2935.8</v>
      </c>
      <c r="K151" s="43"/>
      <c r="L151" s="43"/>
      <c r="M151" s="43"/>
      <c r="N151" s="43">
        <f t="shared" si="146"/>
        <v>3569.6</v>
      </c>
      <c r="O151" s="43">
        <f t="shared" si="147"/>
        <v>-1.9300000000384898E-2</v>
      </c>
      <c r="P151" s="43">
        <v>2173.9</v>
      </c>
      <c r="Q151" s="96">
        <v>1672.4</v>
      </c>
      <c r="R151" s="96">
        <v>501.5</v>
      </c>
      <c r="S151" s="96"/>
      <c r="T151" s="44">
        <f t="shared" si="148"/>
        <v>2173.9</v>
      </c>
      <c r="U151" s="125"/>
      <c r="V151" s="125"/>
      <c r="W151" s="46">
        <f t="shared" si="149"/>
        <v>0</v>
      </c>
      <c r="X151" s="185">
        <v>5</v>
      </c>
      <c r="Y151" s="48">
        <v>9</v>
      </c>
      <c r="Z151" s="48">
        <v>5</v>
      </c>
      <c r="AA151" s="48"/>
      <c r="AB151" s="48"/>
      <c r="AC151" s="49">
        <f t="shared" si="150"/>
        <v>0</v>
      </c>
      <c r="AD151" s="50">
        <f t="shared" si="151"/>
        <v>5</v>
      </c>
      <c r="AE151" s="51">
        <f t="shared" si="152"/>
        <v>0</v>
      </c>
    </row>
    <row r="152" spans="1:31" ht="14.25" customHeight="1" thickBot="1" x14ac:dyDescent="0.3">
      <c r="A152" s="113"/>
      <c r="B152" s="186"/>
      <c r="C152" s="127" t="s">
        <v>65</v>
      </c>
      <c r="D152" s="128">
        <f t="shared" ref="D152" si="153">ROUND(SUM(D146:D151),3)</f>
        <v>11.311999999999999</v>
      </c>
      <c r="E152" s="58"/>
      <c r="F152" s="58"/>
      <c r="G152" s="129">
        <f t="shared" ref="G152:W152" si="154">ROUND(SUM(G146:G151),3)</f>
        <v>18635.7</v>
      </c>
      <c r="H152" s="129">
        <f t="shared" si="154"/>
        <v>12395.5</v>
      </c>
      <c r="I152" s="129">
        <f t="shared" si="154"/>
        <v>3758.3</v>
      </c>
      <c r="J152" s="129">
        <f t="shared" si="154"/>
        <v>16153.8</v>
      </c>
      <c r="K152" s="129">
        <f t="shared" si="154"/>
        <v>10</v>
      </c>
      <c r="L152" s="129">
        <f t="shared" si="154"/>
        <v>10</v>
      </c>
      <c r="M152" s="129"/>
      <c r="N152" s="129">
        <f t="shared" si="154"/>
        <v>18645.7</v>
      </c>
      <c r="O152" s="60"/>
      <c r="P152" s="129">
        <f t="shared" ref="P152:T152" si="155">ROUND(SUM(P146:P151),3)</f>
        <v>10091.200000000001</v>
      </c>
      <c r="Q152" s="129">
        <f t="shared" si="155"/>
        <v>7739.7</v>
      </c>
      <c r="R152" s="129">
        <f t="shared" si="155"/>
        <v>2351.5</v>
      </c>
      <c r="S152" s="129">
        <f t="shared" si="155"/>
        <v>10</v>
      </c>
      <c r="T152" s="129">
        <f t="shared" si="155"/>
        <v>10101.200000000001</v>
      </c>
      <c r="U152" s="129">
        <f t="shared" si="154"/>
        <v>0</v>
      </c>
      <c r="V152" s="129">
        <f t="shared" si="154"/>
        <v>0</v>
      </c>
      <c r="W152" s="130">
        <f t="shared" si="154"/>
        <v>0</v>
      </c>
      <c r="X152" s="131"/>
      <c r="Y152" s="129">
        <f t="shared" ref="Y152:AB152" si="156">ROUND(SUM(Y146:Y151),3)</f>
        <v>58</v>
      </c>
      <c r="Z152" s="129">
        <f t="shared" si="156"/>
        <v>26.9</v>
      </c>
      <c r="AA152" s="129">
        <f t="shared" si="156"/>
        <v>0.1</v>
      </c>
      <c r="AB152" s="129">
        <f t="shared" si="156"/>
        <v>0.1</v>
      </c>
      <c r="AC152" s="65"/>
      <c r="AD152" s="67">
        <f t="shared" si="151"/>
        <v>27</v>
      </c>
      <c r="AE152" s="68"/>
    </row>
    <row r="153" spans="1:31" ht="15.75" x14ac:dyDescent="0.25">
      <c r="A153" s="113"/>
      <c r="B153" s="118" t="s">
        <v>56</v>
      </c>
      <c r="C153" s="187" t="s">
        <v>155</v>
      </c>
      <c r="D153" s="83">
        <v>3.5779999999999998</v>
      </c>
      <c r="E153" s="84">
        <v>1309.3</v>
      </c>
      <c r="F153" s="84">
        <f t="shared" si="130"/>
        <v>4684.6754000000001</v>
      </c>
      <c r="G153" s="120">
        <v>4419</v>
      </c>
      <c r="H153" s="120">
        <v>3147.2</v>
      </c>
      <c r="I153" s="120">
        <v>950.5</v>
      </c>
      <c r="J153" s="86">
        <f t="shared" ref="J153:J159" si="157">H153+I153</f>
        <v>4097.7</v>
      </c>
      <c r="K153" s="86"/>
      <c r="L153" s="86"/>
      <c r="M153" s="86"/>
      <c r="N153" s="86">
        <f t="shared" ref="N153:N160" si="158">G153+L153</f>
        <v>4419</v>
      </c>
      <c r="O153" s="86">
        <f t="shared" ref="O153:O160" si="159">N153-F153</f>
        <v>-265.67540000000008</v>
      </c>
      <c r="P153" s="86">
        <v>2233.1999999999998</v>
      </c>
      <c r="Q153" s="120">
        <v>1715.2</v>
      </c>
      <c r="R153" s="120">
        <v>518</v>
      </c>
      <c r="S153" s="120"/>
      <c r="T153" s="87">
        <f t="shared" ref="T153:T160" si="160">P153+S153</f>
        <v>2233.1999999999998</v>
      </c>
      <c r="U153" s="121"/>
      <c r="V153" s="121"/>
      <c r="W153" s="89">
        <f t="shared" ref="W153:W160" si="161">U153+V153</f>
        <v>0</v>
      </c>
      <c r="X153" s="90">
        <v>6</v>
      </c>
      <c r="Y153" s="32">
        <v>10.5</v>
      </c>
      <c r="Z153" s="32">
        <v>4</v>
      </c>
      <c r="AA153" s="32"/>
      <c r="AB153" s="32"/>
      <c r="AC153" s="91">
        <f t="shared" ref="AC153:AC160" si="162">(Z153+AB153)-X153</f>
        <v>-2</v>
      </c>
      <c r="AD153" s="35">
        <f t="shared" si="151"/>
        <v>4</v>
      </c>
      <c r="AE153" s="92">
        <f t="shared" si="152"/>
        <v>-2</v>
      </c>
    </row>
    <row r="154" spans="1:31" ht="15.75" x14ac:dyDescent="0.25">
      <c r="A154" s="113"/>
      <c r="B154" s="122"/>
      <c r="C154" s="176" t="s">
        <v>156</v>
      </c>
      <c r="D154" s="40">
        <v>1.7450000000000001</v>
      </c>
      <c r="E154" s="41">
        <v>1667.7</v>
      </c>
      <c r="F154" s="41">
        <f t="shared" si="130"/>
        <v>2910.1365000000001</v>
      </c>
      <c r="G154" s="96">
        <v>2656.1</v>
      </c>
      <c r="H154" s="96">
        <v>1811.5</v>
      </c>
      <c r="I154" s="96">
        <v>492.5</v>
      </c>
      <c r="J154" s="43">
        <f t="shared" si="157"/>
        <v>2304</v>
      </c>
      <c r="K154" s="43"/>
      <c r="L154" s="43"/>
      <c r="M154" s="43"/>
      <c r="N154" s="43">
        <f t="shared" si="158"/>
        <v>2656.1</v>
      </c>
      <c r="O154" s="43">
        <f t="shared" si="159"/>
        <v>-254.03650000000016</v>
      </c>
      <c r="P154" s="43">
        <v>1958.8</v>
      </c>
      <c r="Q154" s="96">
        <v>1504.4</v>
      </c>
      <c r="R154" s="96">
        <v>454.3</v>
      </c>
      <c r="S154" s="96"/>
      <c r="T154" s="44">
        <f t="shared" si="160"/>
        <v>1958.8</v>
      </c>
      <c r="U154" s="125"/>
      <c r="V154" s="125"/>
      <c r="W154" s="46">
        <f t="shared" si="161"/>
        <v>0</v>
      </c>
      <c r="X154" s="47">
        <v>5</v>
      </c>
      <c r="Y154" s="48">
        <v>6</v>
      </c>
      <c r="Z154" s="48">
        <v>4</v>
      </c>
      <c r="AA154" s="48"/>
      <c r="AB154" s="48"/>
      <c r="AC154" s="49">
        <f t="shared" si="162"/>
        <v>-1</v>
      </c>
      <c r="AD154" s="50">
        <f t="shared" si="151"/>
        <v>4</v>
      </c>
      <c r="AE154" s="51">
        <f t="shared" si="152"/>
        <v>-1</v>
      </c>
    </row>
    <row r="155" spans="1:31" ht="15.75" x14ac:dyDescent="0.25">
      <c r="A155" s="113"/>
      <c r="B155" s="122"/>
      <c r="C155" s="123" t="s">
        <v>157</v>
      </c>
      <c r="D155" s="40">
        <v>2.4369999999999998</v>
      </c>
      <c r="E155" s="41">
        <v>1518.6</v>
      </c>
      <c r="F155" s="41">
        <f t="shared" si="130"/>
        <v>3700.8281999999995</v>
      </c>
      <c r="G155" s="96">
        <v>3489.4</v>
      </c>
      <c r="H155" s="96">
        <v>2350.3000000000002</v>
      </c>
      <c r="I155" s="96">
        <v>709.8</v>
      </c>
      <c r="J155" s="43">
        <f t="shared" si="157"/>
        <v>3060.1000000000004</v>
      </c>
      <c r="K155" s="43"/>
      <c r="L155" s="43"/>
      <c r="M155" s="43"/>
      <c r="N155" s="43">
        <f t="shared" si="158"/>
        <v>3489.4</v>
      </c>
      <c r="O155" s="43">
        <f t="shared" si="159"/>
        <v>-211.42819999999938</v>
      </c>
      <c r="P155" s="43">
        <v>2233.1</v>
      </c>
      <c r="Q155" s="134">
        <v>1718.8</v>
      </c>
      <c r="R155" s="96">
        <v>519.1</v>
      </c>
      <c r="S155" s="96"/>
      <c r="T155" s="44">
        <f t="shared" si="160"/>
        <v>2233.1</v>
      </c>
      <c r="U155" s="125"/>
      <c r="V155" s="125"/>
      <c r="W155" s="46">
        <f t="shared" si="161"/>
        <v>0</v>
      </c>
      <c r="X155" s="47">
        <v>5</v>
      </c>
      <c r="Y155" s="48">
        <v>9.5</v>
      </c>
      <c r="Z155" s="48">
        <v>5</v>
      </c>
      <c r="AA155" s="48"/>
      <c r="AB155" s="48"/>
      <c r="AC155" s="49">
        <f t="shared" si="162"/>
        <v>0</v>
      </c>
      <c r="AD155" s="50">
        <f t="shared" si="151"/>
        <v>5</v>
      </c>
      <c r="AE155" s="51">
        <f t="shared" si="152"/>
        <v>0</v>
      </c>
    </row>
    <row r="156" spans="1:31" ht="15.75" x14ac:dyDescent="0.25">
      <c r="A156" s="113"/>
      <c r="B156" s="122"/>
      <c r="C156" s="123" t="s">
        <v>158</v>
      </c>
      <c r="D156" s="40">
        <v>1.899</v>
      </c>
      <c r="E156" s="41">
        <v>1737.6</v>
      </c>
      <c r="F156" s="41">
        <f t="shared" si="130"/>
        <v>3299.7023999999997</v>
      </c>
      <c r="G156" s="96">
        <v>3299.7</v>
      </c>
      <c r="H156" s="96">
        <v>2014</v>
      </c>
      <c r="I156" s="96">
        <v>604.70000000000005</v>
      </c>
      <c r="J156" s="43">
        <f t="shared" si="157"/>
        <v>2618.6999999999998</v>
      </c>
      <c r="K156" s="43"/>
      <c r="L156" s="43"/>
      <c r="M156" s="43"/>
      <c r="N156" s="43">
        <f t="shared" si="158"/>
        <v>3299.7</v>
      </c>
      <c r="O156" s="43">
        <f t="shared" si="159"/>
        <v>-2.3999999998522981E-3</v>
      </c>
      <c r="P156" s="43">
        <v>1214.4000000000001</v>
      </c>
      <c r="Q156" s="96">
        <v>932.7</v>
      </c>
      <c r="R156" s="96">
        <v>281.7</v>
      </c>
      <c r="S156" s="96"/>
      <c r="T156" s="44">
        <f t="shared" si="160"/>
        <v>1214.4000000000001</v>
      </c>
      <c r="U156" s="125"/>
      <c r="V156" s="125"/>
      <c r="W156" s="46">
        <f t="shared" si="161"/>
        <v>0</v>
      </c>
      <c r="X156" s="47">
        <v>5</v>
      </c>
      <c r="Y156" s="48">
        <v>8</v>
      </c>
      <c r="Z156" s="48">
        <v>3</v>
      </c>
      <c r="AA156" s="48"/>
      <c r="AB156" s="48"/>
      <c r="AC156" s="49">
        <f t="shared" si="162"/>
        <v>-2</v>
      </c>
      <c r="AD156" s="50">
        <f t="shared" si="151"/>
        <v>3</v>
      </c>
      <c r="AE156" s="51">
        <f t="shared" si="152"/>
        <v>-2</v>
      </c>
    </row>
    <row r="157" spans="1:31" ht="15.75" x14ac:dyDescent="0.25">
      <c r="A157" s="113"/>
      <c r="B157" s="122"/>
      <c r="C157" s="123" t="s">
        <v>159</v>
      </c>
      <c r="D157" s="40">
        <v>3.4039999999999999</v>
      </c>
      <c r="E157" s="41">
        <v>1225.3</v>
      </c>
      <c r="F157" s="41">
        <f t="shared" si="130"/>
        <v>4170.9211999999998</v>
      </c>
      <c r="G157" s="96">
        <v>4162.1000000000004</v>
      </c>
      <c r="H157" s="96">
        <v>2751</v>
      </c>
      <c r="I157" s="96">
        <v>851.7</v>
      </c>
      <c r="J157" s="43">
        <f t="shared" si="157"/>
        <v>3602.7</v>
      </c>
      <c r="K157" s="43"/>
      <c r="L157" s="43"/>
      <c r="M157" s="43"/>
      <c r="N157" s="43">
        <f t="shared" si="158"/>
        <v>4162.1000000000004</v>
      </c>
      <c r="O157" s="43">
        <f t="shared" si="159"/>
        <v>-8.8211999999994077</v>
      </c>
      <c r="P157" s="43">
        <v>1832.7</v>
      </c>
      <c r="Q157" s="96">
        <v>1407.6</v>
      </c>
      <c r="R157" s="96">
        <v>425.1</v>
      </c>
      <c r="S157" s="96"/>
      <c r="T157" s="44">
        <f t="shared" si="160"/>
        <v>1832.7</v>
      </c>
      <c r="U157" s="125"/>
      <c r="V157" s="125"/>
      <c r="W157" s="46">
        <f t="shared" si="161"/>
        <v>0</v>
      </c>
      <c r="X157" s="47">
        <v>5</v>
      </c>
      <c r="Y157" s="48">
        <v>8</v>
      </c>
      <c r="Z157" s="48">
        <v>4</v>
      </c>
      <c r="AA157" s="48"/>
      <c r="AB157" s="48"/>
      <c r="AC157" s="49">
        <f t="shared" si="162"/>
        <v>-1</v>
      </c>
      <c r="AD157" s="50">
        <f t="shared" si="151"/>
        <v>4</v>
      </c>
      <c r="AE157" s="51">
        <f t="shared" si="152"/>
        <v>-1</v>
      </c>
    </row>
    <row r="158" spans="1:31" ht="15.75" x14ac:dyDescent="0.25">
      <c r="A158" s="113"/>
      <c r="B158" s="122"/>
      <c r="C158" s="123" t="s">
        <v>160</v>
      </c>
      <c r="D158" s="40">
        <v>3.512</v>
      </c>
      <c r="E158" s="41">
        <v>1336</v>
      </c>
      <c r="F158" s="41">
        <f t="shared" si="130"/>
        <v>4692.0320000000002</v>
      </c>
      <c r="G158" s="96">
        <v>4691.8999999999996</v>
      </c>
      <c r="H158" s="96">
        <v>3113</v>
      </c>
      <c r="I158" s="96">
        <v>929.3</v>
      </c>
      <c r="J158" s="43">
        <f t="shared" si="157"/>
        <v>4042.3</v>
      </c>
      <c r="K158" s="43"/>
      <c r="L158" s="43"/>
      <c r="M158" s="43"/>
      <c r="N158" s="43">
        <f t="shared" si="158"/>
        <v>4691.8999999999996</v>
      </c>
      <c r="O158" s="43">
        <f t="shared" si="159"/>
        <v>-0.13200000000051659</v>
      </c>
      <c r="P158" s="43">
        <v>2636.4</v>
      </c>
      <c r="Q158" s="96">
        <v>2024.8</v>
      </c>
      <c r="R158" s="96">
        <v>611.5</v>
      </c>
      <c r="S158" s="96"/>
      <c r="T158" s="44">
        <f t="shared" si="160"/>
        <v>2636.4</v>
      </c>
      <c r="U158" s="125"/>
      <c r="V158" s="125"/>
      <c r="W158" s="46">
        <f t="shared" si="161"/>
        <v>0</v>
      </c>
      <c r="X158" s="47">
        <v>5</v>
      </c>
      <c r="Y158" s="48">
        <v>11</v>
      </c>
      <c r="Z158" s="48">
        <v>5</v>
      </c>
      <c r="AA158" s="48"/>
      <c r="AB158" s="48"/>
      <c r="AC158" s="49">
        <f t="shared" si="162"/>
        <v>0</v>
      </c>
      <c r="AD158" s="50">
        <f t="shared" si="151"/>
        <v>5</v>
      </c>
      <c r="AE158" s="51">
        <f t="shared" si="152"/>
        <v>0</v>
      </c>
    </row>
    <row r="159" spans="1:31" ht="15.75" x14ac:dyDescent="0.25">
      <c r="A159" s="113"/>
      <c r="B159" s="122"/>
      <c r="C159" s="123" t="s">
        <v>161</v>
      </c>
      <c r="D159" s="40">
        <v>1.6850000000000001</v>
      </c>
      <c r="E159" s="41">
        <v>1357.3</v>
      </c>
      <c r="F159" s="41">
        <f t="shared" si="130"/>
        <v>2287.0504999999998</v>
      </c>
      <c r="G159" s="96">
        <v>2287</v>
      </c>
      <c r="H159" s="96">
        <v>1532.3</v>
      </c>
      <c r="I159" s="96">
        <v>456.9</v>
      </c>
      <c r="J159" s="43">
        <f t="shared" si="157"/>
        <v>1989.1999999999998</v>
      </c>
      <c r="K159" s="43"/>
      <c r="L159" s="43"/>
      <c r="M159" s="43"/>
      <c r="N159" s="43">
        <f t="shared" si="158"/>
        <v>2287</v>
      </c>
      <c r="O159" s="43">
        <f t="shared" si="159"/>
        <v>-5.0499999999829015E-2</v>
      </c>
      <c r="P159" s="43">
        <v>1508.7</v>
      </c>
      <c r="Q159" s="96">
        <v>1161.4000000000001</v>
      </c>
      <c r="R159" s="96">
        <v>347.3</v>
      </c>
      <c r="S159" s="96"/>
      <c r="T159" s="44">
        <f t="shared" si="160"/>
        <v>1508.7</v>
      </c>
      <c r="U159" s="125"/>
      <c r="V159" s="125"/>
      <c r="W159" s="46">
        <f t="shared" si="161"/>
        <v>0</v>
      </c>
      <c r="X159" s="47">
        <v>5</v>
      </c>
      <c r="Y159" s="48">
        <v>6</v>
      </c>
      <c r="Z159" s="48">
        <v>4</v>
      </c>
      <c r="AA159" s="48"/>
      <c r="AB159" s="48"/>
      <c r="AC159" s="49">
        <f t="shared" si="162"/>
        <v>-1</v>
      </c>
      <c r="AD159" s="50">
        <f t="shared" si="151"/>
        <v>4</v>
      </c>
      <c r="AE159" s="51">
        <f t="shared" si="152"/>
        <v>-1</v>
      </c>
    </row>
    <row r="160" spans="1:31" ht="15.75" x14ac:dyDescent="0.25">
      <c r="A160" s="113"/>
      <c r="B160" s="122"/>
      <c r="C160" s="123" t="s">
        <v>162</v>
      </c>
      <c r="D160" s="40">
        <v>3.581</v>
      </c>
      <c r="E160" s="41">
        <v>1318.2</v>
      </c>
      <c r="F160" s="41">
        <f t="shared" si="130"/>
        <v>4720.4742000000006</v>
      </c>
      <c r="G160" s="96">
        <v>4720.5</v>
      </c>
      <c r="H160" s="96">
        <v>3242.5</v>
      </c>
      <c r="I160" s="96">
        <v>979.2</v>
      </c>
      <c r="J160" s="43">
        <v>3055.5</v>
      </c>
      <c r="K160" s="43"/>
      <c r="L160" s="43"/>
      <c r="M160" s="43"/>
      <c r="N160" s="43">
        <f t="shared" si="158"/>
        <v>4720.5</v>
      </c>
      <c r="O160" s="43">
        <f t="shared" si="159"/>
        <v>2.5799999999435386E-2</v>
      </c>
      <c r="P160" s="43">
        <v>2977.3</v>
      </c>
      <c r="Q160" s="96">
        <v>2286.6999999999998</v>
      </c>
      <c r="R160" s="96">
        <v>690.6</v>
      </c>
      <c r="S160" s="96"/>
      <c r="T160" s="44">
        <f t="shared" si="160"/>
        <v>2977.3</v>
      </c>
      <c r="U160" s="125"/>
      <c r="V160" s="125"/>
      <c r="W160" s="46">
        <f t="shared" si="161"/>
        <v>0</v>
      </c>
      <c r="X160" s="47">
        <v>5</v>
      </c>
      <c r="Y160" s="48">
        <v>13</v>
      </c>
      <c r="Z160" s="48">
        <v>5</v>
      </c>
      <c r="AA160" s="48"/>
      <c r="AB160" s="48"/>
      <c r="AC160" s="49">
        <f t="shared" si="162"/>
        <v>0</v>
      </c>
      <c r="AD160" s="50">
        <f t="shared" si="151"/>
        <v>5</v>
      </c>
      <c r="AE160" s="51">
        <f t="shared" si="152"/>
        <v>0</v>
      </c>
    </row>
    <row r="161" spans="1:31" ht="16.5" thickBot="1" x14ac:dyDescent="0.3">
      <c r="A161" s="113"/>
      <c r="B161" s="126"/>
      <c r="C161" s="127" t="s">
        <v>65</v>
      </c>
      <c r="D161" s="128">
        <f t="shared" ref="D161" si="163">ROUND(SUM(D153:D160),3)</f>
        <v>21.841000000000001</v>
      </c>
      <c r="E161" s="58"/>
      <c r="F161" s="58"/>
      <c r="G161" s="129">
        <f t="shared" ref="G161:W161" si="164">ROUND(SUM(G153:G160),3)</f>
        <v>29725.7</v>
      </c>
      <c r="H161" s="129">
        <f t="shared" si="164"/>
        <v>19961.8</v>
      </c>
      <c r="I161" s="129">
        <f t="shared" si="164"/>
        <v>5974.6</v>
      </c>
      <c r="J161" s="129">
        <f t="shared" si="164"/>
        <v>24770.2</v>
      </c>
      <c r="K161" s="129">
        <f t="shared" si="164"/>
        <v>0</v>
      </c>
      <c r="L161" s="129">
        <f t="shared" si="164"/>
        <v>0</v>
      </c>
      <c r="M161" s="129"/>
      <c r="N161" s="129">
        <f t="shared" si="164"/>
        <v>29725.7</v>
      </c>
      <c r="O161" s="60"/>
      <c r="P161" s="129">
        <f t="shared" ref="P161:T161" si="165">ROUND(SUM(P153:P160),3)</f>
        <v>16594.599999999999</v>
      </c>
      <c r="Q161" s="129">
        <f t="shared" si="165"/>
        <v>12751.6</v>
      </c>
      <c r="R161" s="129">
        <f t="shared" si="165"/>
        <v>3847.6</v>
      </c>
      <c r="S161" s="129">
        <f t="shared" si="165"/>
        <v>0</v>
      </c>
      <c r="T161" s="129">
        <f t="shared" si="165"/>
        <v>16594.599999999999</v>
      </c>
      <c r="U161" s="129">
        <f t="shared" si="164"/>
        <v>0</v>
      </c>
      <c r="V161" s="129">
        <f t="shared" si="164"/>
        <v>0</v>
      </c>
      <c r="W161" s="130">
        <f t="shared" si="164"/>
        <v>0</v>
      </c>
      <c r="X161" s="131"/>
      <c r="Y161" s="129">
        <f t="shared" ref="Y161:AB161" si="166">ROUND(SUM(Y153:Y160),3)</f>
        <v>72</v>
      </c>
      <c r="Z161" s="129">
        <f t="shared" si="166"/>
        <v>34</v>
      </c>
      <c r="AA161" s="129">
        <f t="shared" si="166"/>
        <v>0</v>
      </c>
      <c r="AB161" s="129">
        <f t="shared" si="166"/>
        <v>0</v>
      </c>
      <c r="AC161" s="65"/>
      <c r="AD161" s="67">
        <f t="shared" si="151"/>
        <v>34</v>
      </c>
      <c r="AE161" s="68"/>
    </row>
    <row r="162" spans="1:31" ht="15.75" x14ac:dyDescent="0.25">
      <c r="A162" s="113"/>
      <c r="B162" s="118" t="s">
        <v>57</v>
      </c>
      <c r="C162" s="132" t="s">
        <v>163</v>
      </c>
      <c r="D162" s="83">
        <v>13.382999999999999</v>
      </c>
      <c r="E162" s="84">
        <v>178.3</v>
      </c>
      <c r="F162" s="84">
        <f t="shared" si="130"/>
        <v>2386.1889000000001</v>
      </c>
      <c r="G162" s="120">
        <v>2247.3000000000002</v>
      </c>
      <c r="H162" s="120">
        <v>1346.3</v>
      </c>
      <c r="I162" s="120">
        <v>405.6</v>
      </c>
      <c r="J162" s="86">
        <f>H162+I162</f>
        <v>1751.9</v>
      </c>
      <c r="K162" s="86"/>
      <c r="L162" s="86"/>
      <c r="M162" s="86"/>
      <c r="N162" s="86">
        <f t="shared" ref="N162:N167" si="167">G162+L162</f>
        <v>2247.3000000000002</v>
      </c>
      <c r="O162" s="86">
        <f t="shared" ref="O162:O167" si="168">N162-F162</f>
        <v>-138.88889999999992</v>
      </c>
      <c r="P162" s="86">
        <v>1669.1</v>
      </c>
      <c r="Q162" s="120">
        <v>1282.7</v>
      </c>
      <c r="R162" s="120">
        <v>386.4</v>
      </c>
      <c r="S162" s="120"/>
      <c r="T162" s="87">
        <f t="shared" ref="T162:T167" si="169">P162+S162</f>
        <v>1669.1</v>
      </c>
      <c r="U162" s="121"/>
      <c r="V162" s="121"/>
      <c r="W162" s="89">
        <f t="shared" ref="W162:W167" si="170">U162+V162</f>
        <v>0</v>
      </c>
      <c r="X162" s="90">
        <v>4</v>
      </c>
      <c r="Y162" s="32">
        <v>4</v>
      </c>
      <c r="Z162" s="32">
        <v>3.5</v>
      </c>
      <c r="AA162" s="32"/>
      <c r="AB162" s="32"/>
      <c r="AC162" s="91">
        <f t="shared" ref="AC162:AC167" si="171">(Z162+AB162)-X162</f>
        <v>-0.5</v>
      </c>
      <c r="AD162" s="35">
        <f t="shared" si="151"/>
        <v>3.5</v>
      </c>
      <c r="AE162" s="92">
        <f t="shared" si="152"/>
        <v>-0.5</v>
      </c>
    </row>
    <row r="163" spans="1:31" ht="15.75" x14ac:dyDescent="0.25">
      <c r="A163" s="113"/>
      <c r="B163" s="122"/>
      <c r="C163" s="163" t="s">
        <v>164</v>
      </c>
      <c r="D163" s="40">
        <v>0.65300000000000002</v>
      </c>
      <c r="E163" s="41">
        <v>2313.1999999999998</v>
      </c>
      <c r="F163" s="41">
        <f t="shared" si="130"/>
        <v>1510.5195999999999</v>
      </c>
      <c r="G163" s="96">
        <v>1475.2</v>
      </c>
      <c r="H163" s="96">
        <v>930.5</v>
      </c>
      <c r="I163" s="96">
        <v>282.39999999999998</v>
      </c>
      <c r="J163" s="43">
        <f t="shared" ref="J163:J167" si="172">H163+I163</f>
        <v>1212.9000000000001</v>
      </c>
      <c r="K163" s="43"/>
      <c r="L163" s="43"/>
      <c r="M163" s="43"/>
      <c r="N163" s="43">
        <f t="shared" si="167"/>
        <v>1475.2</v>
      </c>
      <c r="O163" s="43">
        <f t="shared" si="168"/>
        <v>-35.319599999999809</v>
      </c>
      <c r="P163" s="43">
        <v>919.4</v>
      </c>
      <c r="Q163" s="96">
        <v>705.5</v>
      </c>
      <c r="R163" s="96">
        <v>213.9</v>
      </c>
      <c r="S163" s="96"/>
      <c r="T163" s="44">
        <f t="shared" si="169"/>
        <v>919.4</v>
      </c>
      <c r="U163" s="125"/>
      <c r="V163" s="125"/>
      <c r="W163" s="46">
        <f t="shared" si="170"/>
        <v>0</v>
      </c>
      <c r="X163" s="140">
        <v>5</v>
      </c>
      <c r="Y163" s="48">
        <v>6.5</v>
      </c>
      <c r="Z163" s="48">
        <v>3</v>
      </c>
      <c r="AA163" s="48"/>
      <c r="AB163" s="48"/>
      <c r="AC163" s="49">
        <f t="shared" si="171"/>
        <v>-2</v>
      </c>
      <c r="AD163" s="50">
        <f t="shared" si="151"/>
        <v>3</v>
      </c>
      <c r="AE163" s="51">
        <f t="shared" si="152"/>
        <v>-2</v>
      </c>
    </row>
    <row r="164" spans="1:31" ht="15" customHeight="1" x14ac:dyDescent="0.25">
      <c r="A164" s="113"/>
      <c r="B164" s="122"/>
      <c r="C164" s="163" t="s">
        <v>165</v>
      </c>
      <c r="D164" s="40">
        <v>0.98499999999999999</v>
      </c>
      <c r="E164" s="41">
        <v>1929.1</v>
      </c>
      <c r="F164" s="41">
        <f t="shared" si="130"/>
        <v>1900.1634999999999</v>
      </c>
      <c r="G164" s="96">
        <v>1899.8</v>
      </c>
      <c r="H164" s="96">
        <v>1323.7</v>
      </c>
      <c r="I164" s="96">
        <v>392.7</v>
      </c>
      <c r="J164" s="43">
        <f t="shared" si="172"/>
        <v>1716.4</v>
      </c>
      <c r="K164" s="43"/>
      <c r="L164" s="43"/>
      <c r="M164" s="43"/>
      <c r="N164" s="43">
        <f t="shared" si="167"/>
        <v>1899.8</v>
      </c>
      <c r="O164" s="43">
        <f t="shared" si="168"/>
        <v>-0.36349999999993088</v>
      </c>
      <c r="P164" s="43">
        <v>979.9</v>
      </c>
      <c r="Q164" s="96">
        <v>756.2</v>
      </c>
      <c r="R164" s="96">
        <v>223.7</v>
      </c>
      <c r="S164" s="96"/>
      <c r="T164" s="44">
        <f t="shared" si="169"/>
        <v>979.9</v>
      </c>
      <c r="U164" s="125"/>
      <c r="V164" s="125"/>
      <c r="W164" s="46">
        <f t="shared" si="170"/>
        <v>0</v>
      </c>
      <c r="X164" s="47">
        <v>5</v>
      </c>
      <c r="Y164" s="48">
        <v>5.5</v>
      </c>
      <c r="Z164" s="48">
        <v>3</v>
      </c>
      <c r="AA164" s="48"/>
      <c r="AB164" s="48"/>
      <c r="AC164" s="49">
        <f t="shared" si="171"/>
        <v>-2</v>
      </c>
      <c r="AD164" s="50">
        <f t="shared" si="151"/>
        <v>3</v>
      </c>
      <c r="AE164" s="51">
        <f t="shared" si="152"/>
        <v>-2</v>
      </c>
    </row>
    <row r="165" spans="1:31" ht="15.75" x14ac:dyDescent="0.25">
      <c r="A165" s="113"/>
      <c r="B165" s="122"/>
      <c r="C165" s="188" t="s">
        <v>166</v>
      </c>
      <c r="D165" s="40">
        <v>6.13</v>
      </c>
      <c r="E165" s="41">
        <v>789.6</v>
      </c>
      <c r="F165" s="41">
        <f t="shared" si="130"/>
        <v>4840.2480000000005</v>
      </c>
      <c r="G165" s="96">
        <v>4700</v>
      </c>
      <c r="H165" s="96">
        <v>3638.7</v>
      </c>
      <c r="I165" s="96">
        <v>961</v>
      </c>
      <c r="J165" s="43">
        <f t="shared" si="172"/>
        <v>4599.7</v>
      </c>
      <c r="K165" s="43">
        <f>107.7+32.5</f>
        <v>140.19999999999999</v>
      </c>
      <c r="L165" s="43">
        <v>140.19999999999999</v>
      </c>
      <c r="M165" s="43"/>
      <c r="N165" s="43">
        <f t="shared" si="167"/>
        <v>4840.2</v>
      </c>
      <c r="O165" s="43">
        <f t="shared" si="168"/>
        <v>-4.800000000068394E-2</v>
      </c>
      <c r="P165" s="43">
        <v>2143.4</v>
      </c>
      <c r="Q165" s="96">
        <v>1698.5</v>
      </c>
      <c r="R165" s="96">
        <v>444.9</v>
      </c>
      <c r="S165" s="96"/>
      <c r="T165" s="44">
        <f t="shared" si="169"/>
        <v>2143.4</v>
      </c>
      <c r="U165" s="125"/>
      <c r="V165" s="125"/>
      <c r="W165" s="46">
        <f t="shared" si="170"/>
        <v>0</v>
      </c>
      <c r="X165" s="47">
        <v>5</v>
      </c>
      <c r="Y165" s="48">
        <v>11</v>
      </c>
      <c r="Z165" s="48">
        <v>5</v>
      </c>
      <c r="AA165" s="48">
        <v>0.5</v>
      </c>
      <c r="AB165" s="48"/>
      <c r="AC165" s="49">
        <f t="shared" si="171"/>
        <v>0</v>
      </c>
      <c r="AD165" s="50">
        <f t="shared" si="151"/>
        <v>5</v>
      </c>
      <c r="AE165" s="51">
        <f t="shared" si="152"/>
        <v>0</v>
      </c>
    </row>
    <row r="166" spans="1:31" ht="15.75" x14ac:dyDescent="0.25">
      <c r="A166" s="113"/>
      <c r="B166" s="122"/>
      <c r="C166" s="123" t="s">
        <v>167</v>
      </c>
      <c r="D166" s="40">
        <v>1.4019999999999999</v>
      </c>
      <c r="E166" s="41">
        <v>1627.8</v>
      </c>
      <c r="F166" s="41">
        <f t="shared" si="130"/>
        <v>2282.1755999999996</v>
      </c>
      <c r="G166" s="96">
        <v>2200.4</v>
      </c>
      <c r="H166" s="96">
        <v>1572.1</v>
      </c>
      <c r="I166" s="96">
        <v>467.1</v>
      </c>
      <c r="J166" s="43">
        <f t="shared" si="172"/>
        <v>2039.1999999999998</v>
      </c>
      <c r="K166" s="43"/>
      <c r="L166" s="43"/>
      <c r="M166" s="43"/>
      <c r="N166" s="43">
        <f t="shared" si="167"/>
        <v>2200.4</v>
      </c>
      <c r="O166" s="43">
        <f t="shared" si="168"/>
        <v>-81.775599999999486</v>
      </c>
      <c r="P166" s="43">
        <v>1329.1</v>
      </c>
      <c r="Q166" s="96">
        <v>1024</v>
      </c>
      <c r="R166" s="96">
        <v>305.10000000000002</v>
      </c>
      <c r="S166" s="96"/>
      <c r="T166" s="44">
        <f t="shared" si="169"/>
        <v>1329.1</v>
      </c>
      <c r="U166" s="125"/>
      <c r="V166" s="125"/>
      <c r="W166" s="46">
        <f t="shared" si="170"/>
        <v>0</v>
      </c>
      <c r="X166" s="47">
        <v>4</v>
      </c>
      <c r="Y166" s="48">
        <v>8</v>
      </c>
      <c r="Z166" s="48">
        <v>4</v>
      </c>
      <c r="AA166" s="48"/>
      <c r="AB166" s="48"/>
      <c r="AC166" s="49">
        <f t="shared" si="171"/>
        <v>0</v>
      </c>
      <c r="AD166" s="50">
        <f t="shared" si="151"/>
        <v>4</v>
      </c>
      <c r="AE166" s="51">
        <f t="shared" si="152"/>
        <v>0</v>
      </c>
    </row>
    <row r="167" spans="1:31" ht="15.75" x14ac:dyDescent="0.25">
      <c r="A167" s="113"/>
      <c r="B167" s="122"/>
      <c r="C167" s="176" t="s">
        <v>168</v>
      </c>
      <c r="D167" s="40">
        <v>0.79400000000000004</v>
      </c>
      <c r="E167" s="41">
        <v>1987.7</v>
      </c>
      <c r="F167" s="41">
        <f t="shared" si="130"/>
        <v>1578.2338000000002</v>
      </c>
      <c r="G167" s="96">
        <v>1578.2</v>
      </c>
      <c r="H167" s="96">
        <v>1168.8</v>
      </c>
      <c r="I167" s="96">
        <v>345.8</v>
      </c>
      <c r="J167" s="43">
        <f t="shared" si="172"/>
        <v>1514.6</v>
      </c>
      <c r="K167" s="43"/>
      <c r="L167" s="43"/>
      <c r="M167" s="43"/>
      <c r="N167" s="43">
        <f t="shared" si="167"/>
        <v>1578.2</v>
      </c>
      <c r="O167" s="43">
        <f t="shared" si="168"/>
        <v>-3.3800000000155705E-2</v>
      </c>
      <c r="P167" s="43">
        <v>804.6</v>
      </c>
      <c r="Q167" s="96">
        <v>620.70000000000005</v>
      </c>
      <c r="R167" s="96">
        <v>183.9</v>
      </c>
      <c r="S167" s="96"/>
      <c r="T167" s="44">
        <f t="shared" si="169"/>
        <v>804.6</v>
      </c>
      <c r="U167" s="125"/>
      <c r="V167" s="125"/>
      <c r="W167" s="46">
        <f t="shared" si="170"/>
        <v>0</v>
      </c>
      <c r="X167" s="47">
        <v>3</v>
      </c>
      <c r="Y167" s="48">
        <v>7</v>
      </c>
      <c r="Z167" s="48">
        <v>2</v>
      </c>
      <c r="AA167" s="48"/>
      <c r="AB167" s="48"/>
      <c r="AC167" s="49">
        <f t="shared" si="171"/>
        <v>-1</v>
      </c>
      <c r="AD167" s="50">
        <f t="shared" si="151"/>
        <v>2</v>
      </c>
      <c r="AE167" s="51">
        <f t="shared" si="152"/>
        <v>-1</v>
      </c>
    </row>
    <row r="168" spans="1:31" ht="16.5" thickBot="1" x14ac:dyDescent="0.3">
      <c r="A168" s="113"/>
      <c r="B168" s="126"/>
      <c r="C168" s="127" t="s">
        <v>65</v>
      </c>
      <c r="D168" s="128">
        <f>ROUND(SUM(D162:D167),3)</f>
        <v>23.347000000000001</v>
      </c>
      <c r="E168" s="58"/>
      <c r="F168" s="58"/>
      <c r="G168" s="129">
        <f t="shared" ref="G168:N168" si="173">ROUND(SUM(G162:G167),3)</f>
        <v>14100.9</v>
      </c>
      <c r="H168" s="129">
        <f t="shared" si="173"/>
        <v>9980.1</v>
      </c>
      <c r="I168" s="129">
        <f t="shared" si="173"/>
        <v>2854.6</v>
      </c>
      <c r="J168" s="129">
        <f t="shared" si="173"/>
        <v>12834.7</v>
      </c>
      <c r="K168" s="129">
        <f t="shared" si="173"/>
        <v>140.19999999999999</v>
      </c>
      <c r="L168" s="129">
        <f t="shared" si="173"/>
        <v>140.19999999999999</v>
      </c>
      <c r="M168" s="129"/>
      <c r="N168" s="129">
        <f t="shared" si="173"/>
        <v>14241.1</v>
      </c>
      <c r="O168" s="60"/>
      <c r="P168" s="129">
        <f t="shared" ref="P168:W168" si="174">ROUND(SUM(P162:P167),3)</f>
        <v>7845.5</v>
      </c>
      <c r="Q168" s="129">
        <f t="shared" si="174"/>
        <v>6087.6</v>
      </c>
      <c r="R168" s="129">
        <f t="shared" si="174"/>
        <v>1757.9</v>
      </c>
      <c r="S168" s="129">
        <f t="shared" si="174"/>
        <v>0</v>
      </c>
      <c r="T168" s="129">
        <f t="shared" si="174"/>
        <v>7845.5</v>
      </c>
      <c r="U168" s="129">
        <f t="shared" si="174"/>
        <v>0</v>
      </c>
      <c r="V168" s="129">
        <f t="shared" si="174"/>
        <v>0</v>
      </c>
      <c r="W168" s="130">
        <f t="shared" si="174"/>
        <v>0</v>
      </c>
      <c r="X168" s="131"/>
      <c r="Y168" s="129">
        <f>ROUND(SUM(Y162:Y167),3)</f>
        <v>42</v>
      </c>
      <c r="Z168" s="129">
        <f>ROUND(SUM(Z162:Z167),3)</f>
        <v>20.5</v>
      </c>
      <c r="AA168" s="129">
        <f>ROUND(SUM(AA162:AA167),3)</f>
        <v>0.5</v>
      </c>
      <c r="AB168" s="129">
        <f>ROUND(SUM(AB162:AB167),3)</f>
        <v>0</v>
      </c>
      <c r="AC168" s="65"/>
      <c r="AD168" s="67">
        <f t="shared" si="151"/>
        <v>20.5</v>
      </c>
      <c r="AE168" s="68"/>
    </row>
    <row r="169" spans="1:31" ht="15.75" x14ac:dyDescent="0.25">
      <c r="A169" s="113"/>
      <c r="B169" s="118" t="s">
        <v>58</v>
      </c>
      <c r="C169" s="162" t="s">
        <v>169</v>
      </c>
      <c r="D169" s="83">
        <v>8.3780000000000001</v>
      </c>
      <c r="E169" s="84">
        <v>103.2</v>
      </c>
      <c r="F169" s="84">
        <f t="shared" si="130"/>
        <v>864.6096</v>
      </c>
      <c r="G169" s="120">
        <v>194.3</v>
      </c>
      <c r="H169" s="120">
        <v>136.6</v>
      </c>
      <c r="I169" s="120">
        <v>40.799999999999997</v>
      </c>
      <c r="J169" s="86">
        <f t="shared" ref="J169:J172" si="175">H169+I169</f>
        <v>177.39999999999998</v>
      </c>
      <c r="K169" s="86"/>
      <c r="L169" s="86"/>
      <c r="M169" s="86"/>
      <c r="N169" s="86">
        <f>G169+L169</f>
        <v>194.3</v>
      </c>
      <c r="O169" s="86">
        <f>N169-F169</f>
        <v>-670.30960000000005</v>
      </c>
      <c r="P169" s="86"/>
      <c r="Q169" s="120"/>
      <c r="R169" s="120"/>
      <c r="S169" s="120"/>
      <c r="T169" s="142"/>
      <c r="U169" s="121"/>
      <c r="V169" s="121"/>
      <c r="W169" s="89">
        <f>U169+V169</f>
        <v>0</v>
      </c>
      <c r="X169" s="90">
        <v>1</v>
      </c>
      <c r="Y169" s="32">
        <v>1</v>
      </c>
      <c r="Z169" s="32"/>
      <c r="AA169" s="32"/>
      <c r="AB169" s="32"/>
      <c r="AC169" s="91">
        <f t="shared" ref="AC169:AC172" si="176">(Z169+AB169)-X169</f>
        <v>-1</v>
      </c>
      <c r="AD169" s="35">
        <f t="shared" si="151"/>
        <v>0</v>
      </c>
      <c r="AE169" s="92">
        <f t="shared" si="152"/>
        <v>-1</v>
      </c>
    </row>
    <row r="170" spans="1:31" ht="15.75" x14ac:dyDescent="0.25">
      <c r="A170" s="113"/>
      <c r="B170" s="122"/>
      <c r="C170" s="164" t="s">
        <v>170</v>
      </c>
      <c r="D170" s="40">
        <v>1.823</v>
      </c>
      <c r="E170" s="41">
        <v>1711</v>
      </c>
      <c r="F170" s="41">
        <f t="shared" si="130"/>
        <v>3119.1529999999998</v>
      </c>
      <c r="G170" s="96">
        <v>3034.5</v>
      </c>
      <c r="H170" s="96">
        <v>1886.4</v>
      </c>
      <c r="I170" s="96">
        <v>512.4</v>
      </c>
      <c r="J170" s="43">
        <f t="shared" si="175"/>
        <v>2398.8000000000002</v>
      </c>
      <c r="K170" s="43">
        <f>-185.6-44.4</f>
        <v>-230</v>
      </c>
      <c r="L170" s="43">
        <v>-230</v>
      </c>
      <c r="M170" s="43"/>
      <c r="N170" s="43">
        <f>G170+L170</f>
        <v>2804.5</v>
      </c>
      <c r="O170" s="43">
        <f>N170-F170</f>
        <v>-314.65299999999979</v>
      </c>
      <c r="P170" s="43">
        <v>1850.3</v>
      </c>
      <c r="Q170" s="96">
        <v>1425.8</v>
      </c>
      <c r="R170" s="96">
        <v>424.5</v>
      </c>
      <c r="S170" s="96"/>
      <c r="T170" s="44">
        <f t="shared" ref="T170:T172" si="177">P170+S170</f>
        <v>1850.3</v>
      </c>
      <c r="U170" s="125"/>
      <c r="V170" s="125"/>
      <c r="W170" s="46">
        <f>U170+V170</f>
        <v>0</v>
      </c>
      <c r="X170" s="47">
        <v>5</v>
      </c>
      <c r="Y170" s="48">
        <v>7</v>
      </c>
      <c r="Z170" s="48">
        <v>4.5</v>
      </c>
      <c r="AA170" s="48">
        <v>-1</v>
      </c>
      <c r="AB170" s="48"/>
      <c r="AC170" s="49">
        <f t="shared" si="176"/>
        <v>-0.5</v>
      </c>
      <c r="AD170" s="50">
        <f t="shared" si="151"/>
        <v>4.5</v>
      </c>
      <c r="AE170" s="51">
        <f t="shared" si="152"/>
        <v>-0.5</v>
      </c>
    </row>
    <row r="171" spans="1:31" ht="15.75" x14ac:dyDescent="0.25">
      <c r="A171" s="113"/>
      <c r="B171" s="122"/>
      <c r="C171" s="163" t="s">
        <v>171</v>
      </c>
      <c r="D171" s="40">
        <v>1.1619999999999999</v>
      </c>
      <c r="E171" s="41">
        <v>2291.1999999999998</v>
      </c>
      <c r="F171" s="41">
        <f t="shared" si="130"/>
        <v>2662.3743999999997</v>
      </c>
      <c r="G171" s="96">
        <v>2882</v>
      </c>
      <c r="H171" s="96">
        <v>1994.8</v>
      </c>
      <c r="I171" s="96">
        <v>593.79999999999995</v>
      </c>
      <c r="J171" s="43">
        <f t="shared" si="175"/>
        <v>2588.6</v>
      </c>
      <c r="K171" s="43">
        <f>-168.4-51.1</f>
        <v>-219.5</v>
      </c>
      <c r="L171" s="43">
        <v>-219.6</v>
      </c>
      <c r="M171" s="43"/>
      <c r="N171" s="43">
        <f>G171+L171</f>
        <v>2662.4</v>
      </c>
      <c r="O171" s="43">
        <f>N171-F171</f>
        <v>2.5600000000395084E-2</v>
      </c>
      <c r="P171" s="43">
        <v>1706.5</v>
      </c>
      <c r="Q171" s="96">
        <v>1314.9</v>
      </c>
      <c r="R171" s="96">
        <v>391.6</v>
      </c>
      <c r="S171" s="96"/>
      <c r="T171" s="44">
        <f t="shared" si="177"/>
        <v>1706.5</v>
      </c>
      <c r="U171" s="125"/>
      <c r="V171" s="125"/>
      <c r="W171" s="46">
        <f>U171+V171</f>
        <v>0</v>
      </c>
      <c r="X171" s="47">
        <v>5</v>
      </c>
      <c r="Y171" s="48">
        <v>8</v>
      </c>
      <c r="Z171" s="48">
        <v>4.5</v>
      </c>
      <c r="AA171" s="48">
        <v>-1</v>
      </c>
      <c r="AB171" s="48"/>
      <c r="AC171" s="49">
        <f t="shared" si="176"/>
        <v>-0.5</v>
      </c>
      <c r="AD171" s="50">
        <f t="shared" si="151"/>
        <v>4.5</v>
      </c>
      <c r="AE171" s="51">
        <f t="shared" si="152"/>
        <v>-0.5</v>
      </c>
    </row>
    <row r="172" spans="1:31" ht="15.75" x14ac:dyDescent="0.25">
      <c r="A172" s="113">
        <v>67</v>
      </c>
      <c r="B172" s="122"/>
      <c r="C172" s="184" t="s">
        <v>172</v>
      </c>
      <c r="D172" s="40">
        <v>2.0449999999999999</v>
      </c>
      <c r="E172" s="41">
        <v>1759.3</v>
      </c>
      <c r="F172" s="41">
        <f t="shared" si="130"/>
        <v>3597.7684999999997</v>
      </c>
      <c r="G172" s="96">
        <v>3456.2</v>
      </c>
      <c r="H172" s="96">
        <v>2101.6999999999998</v>
      </c>
      <c r="I172" s="96">
        <v>623.9</v>
      </c>
      <c r="J172" s="43">
        <f t="shared" si="175"/>
        <v>2725.6</v>
      </c>
      <c r="K172" s="43">
        <f>-178.2-53.2</f>
        <v>-231.39999999999998</v>
      </c>
      <c r="L172" s="43">
        <f>-231.4</f>
        <v>-231.4</v>
      </c>
      <c r="M172" s="43"/>
      <c r="N172" s="43">
        <f>G172+L172</f>
        <v>3224.7999999999997</v>
      </c>
      <c r="O172" s="43">
        <f>N172-F172</f>
        <v>-372.96849999999995</v>
      </c>
      <c r="P172" s="43">
        <v>1962.9</v>
      </c>
      <c r="Q172" s="96">
        <v>1507.6</v>
      </c>
      <c r="R172" s="96">
        <v>455.3</v>
      </c>
      <c r="S172" s="96">
        <v>-231.4</v>
      </c>
      <c r="T172" s="44">
        <f t="shared" si="177"/>
        <v>1731.5</v>
      </c>
      <c r="U172" s="125"/>
      <c r="V172" s="125"/>
      <c r="W172" s="46">
        <f>U172+V172</f>
        <v>0</v>
      </c>
      <c r="X172" s="47">
        <v>5</v>
      </c>
      <c r="Y172" s="48">
        <v>7</v>
      </c>
      <c r="Z172" s="48">
        <v>3.5</v>
      </c>
      <c r="AA172" s="48">
        <v>-0.5</v>
      </c>
      <c r="AB172" s="48">
        <v>-0.5</v>
      </c>
      <c r="AC172" s="49">
        <f t="shared" si="176"/>
        <v>-2</v>
      </c>
      <c r="AD172" s="50">
        <f t="shared" si="151"/>
        <v>3</v>
      </c>
      <c r="AE172" s="51">
        <f t="shared" si="152"/>
        <v>-2</v>
      </c>
    </row>
    <row r="173" spans="1:31" ht="16.5" thickBot="1" x14ac:dyDescent="0.3">
      <c r="A173" s="113"/>
      <c r="B173" s="126"/>
      <c r="C173" s="127" t="s">
        <v>65</v>
      </c>
      <c r="D173" s="150">
        <f>ROUND(SUM(D169:D172),3)</f>
        <v>13.407999999999999</v>
      </c>
      <c r="E173" s="58"/>
      <c r="F173" s="58"/>
      <c r="G173" s="67">
        <f t="shared" ref="G173:L173" si="178">ROUND(SUM(G169:G172),3)</f>
        <v>9567</v>
      </c>
      <c r="H173" s="67">
        <f t="shared" si="178"/>
        <v>6119.5</v>
      </c>
      <c r="I173" s="67">
        <f t="shared" si="178"/>
        <v>1770.9</v>
      </c>
      <c r="J173" s="67">
        <f t="shared" si="178"/>
        <v>7890.4</v>
      </c>
      <c r="K173" s="67">
        <f t="shared" si="178"/>
        <v>-680.9</v>
      </c>
      <c r="L173" s="67">
        <f t="shared" si="178"/>
        <v>-681</v>
      </c>
      <c r="M173" s="67"/>
      <c r="N173" s="67">
        <f>ROUND(SUM(N169:N172),3)</f>
        <v>8886</v>
      </c>
      <c r="O173" s="67"/>
      <c r="P173" s="67">
        <f t="shared" ref="P173:T173" si="179">ROUND(SUM(P169:P172),3)</f>
        <v>5519.7</v>
      </c>
      <c r="Q173" s="67">
        <f t="shared" si="179"/>
        <v>4248.3</v>
      </c>
      <c r="R173" s="67">
        <f t="shared" si="179"/>
        <v>1271.4000000000001</v>
      </c>
      <c r="S173" s="67">
        <f t="shared" si="179"/>
        <v>-231.4</v>
      </c>
      <c r="T173" s="67">
        <f t="shared" si="179"/>
        <v>5288.3</v>
      </c>
      <c r="U173" s="67">
        <f>ROUND(SUM(U169:U172),3)</f>
        <v>0</v>
      </c>
      <c r="V173" s="67">
        <f>ROUND(SUM(V169:V172),3)</f>
        <v>0</v>
      </c>
      <c r="W173" s="151">
        <f>ROUND(SUM(W169:W172),3)</f>
        <v>0</v>
      </c>
      <c r="X173" s="152"/>
      <c r="Y173" s="67">
        <f t="shared" ref="Y173:AC173" si="180">ROUND(SUM(Y169:Y172),3)</f>
        <v>23</v>
      </c>
      <c r="Z173" s="67">
        <f t="shared" si="180"/>
        <v>12.5</v>
      </c>
      <c r="AA173" s="67">
        <f t="shared" si="180"/>
        <v>-2.5</v>
      </c>
      <c r="AB173" s="67">
        <f t="shared" si="180"/>
        <v>-0.5</v>
      </c>
      <c r="AC173" s="67">
        <f t="shared" si="180"/>
        <v>-4</v>
      </c>
      <c r="AD173" s="67">
        <f t="shared" si="151"/>
        <v>12</v>
      </c>
      <c r="AE173" s="68"/>
    </row>
    <row r="174" spans="1:31" ht="15.75" x14ac:dyDescent="0.25">
      <c r="A174" s="113"/>
      <c r="B174" s="189"/>
      <c r="C174" s="190"/>
      <c r="D174" s="191"/>
      <c r="E174" s="192"/>
      <c r="F174" s="192"/>
      <c r="G174" s="193">
        <f t="shared" ref="G174:L174" si="181">G173+G40</f>
        <v>30153.200000000001</v>
      </c>
      <c r="H174" s="193">
        <f t="shared" si="181"/>
        <v>20784.099999999999</v>
      </c>
      <c r="I174" s="193">
        <f t="shared" si="181"/>
        <v>6268.6</v>
      </c>
      <c r="J174" s="193">
        <f t="shared" si="181"/>
        <v>12157.599999999999</v>
      </c>
      <c r="K174" s="193">
        <f t="shared" si="181"/>
        <v>0.10000000000002274</v>
      </c>
      <c r="L174" s="193">
        <f t="shared" si="181"/>
        <v>0</v>
      </c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4"/>
      <c r="Y174" s="193"/>
      <c r="Z174" s="193"/>
      <c r="AA174" s="193"/>
      <c r="AB174" s="193"/>
      <c r="AC174" s="193"/>
      <c r="AE174" s="196"/>
    </row>
    <row r="175" spans="1:31" x14ac:dyDescent="0.2">
      <c r="A175" s="113">
        <v>71</v>
      </c>
      <c r="D175" s="191">
        <f>SUM(D11:D173)-D20-D21-D22-D23-D24-D25-D26-D27-D28-D29-D30-D31-D32-D33-D34-D35-D36-D37-D38-D39-D40-D47-D52-D59-D66-D72-D81-D87-D95-D102-D108-D114-D119-D123-D127-D133-D138-D145-D152-D161-D168-D173</f>
        <v>983.88699999999994</v>
      </c>
      <c r="G175" s="196"/>
      <c r="H175" s="198"/>
      <c r="I175" s="198"/>
      <c r="J175" s="199"/>
      <c r="K175" s="199"/>
      <c r="L175" s="198"/>
      <c r="M175" s="198"/>
      <c r="N175" s="198"/>
      <c r="O175" s="198"/>
      <c r="U175" s="200"/>
      <c r="V175" s="200"/>
      <c r="W175" s="201"/>
    </row>
    <row r="176" spans="1:31" x14ac:dyDescent="0.2">
      <c r="A176" s="113">
        <v>72</v>
      </c>
      <c r="D176" s="193"/>
      <c r="E176" s="193"/>
      <c r="F176" s="193"/>
      <c r="G176" s="196"/>
      <c r="H176" s="198"/>
      <c r="I176" s="198"/>
      <c r="J176" s="198"/>
      <c r="K176" s="198"/>
      <c r="L176" s="198"/>
      <c r="M176" s="198"/>
      <c r="N176" s="198"/>
      <c r="O176" s="198"/>
    </row>
    <row r="177" spans="1:30" ht="15.75" x14ac:dyDescent="0.25">
      <c r="A177" s="113"/>
      <c r="B177" s="203"/>
      <c r="C177" s="204"/>
      <c r="G177" s="196"/>
      <c r="H177" s="198"/>
      <c r="I177" s="198"/>
      <c r="J177" s="205" t="e">
        <f>J11+J12+J13+J14+J15+J16+#REF!+#REF!+#REF!+#REF!+#REF!+#REF!+#REF!+#REF!+#REF!+#REF!+#REF!+#REF!+#REF!+#REF!+#REF!+#REF!+#REF!+#REF!+#REF!+#REF!+J174</f>
        <v>#REF!</v>
      </c>
      <c r="K177" s="198"/>
      <c r="L177" s="198"/>
      <c r="M177" s="198"/>
      <c r="N177" s="205"/>
      <c r="O177" s="198"/>
    </row>
    <row r="178" spans="1:30" x14ac:dyDescent="0.2">
      <c r="A178" s="113"/>
      <c r="B178" s="203"/>
      <c r="C178" s="206"/>
      <c r="H178" s="198"/>
      <c r="I178" s="198"/>
      <c r="J178" s="198"/>
      <c r="K178" s="198"/>
      <c r="L178" s="198"/>
      <c r="M178" s="198"/>
      <c r="N178" s="198"/>
      <c r="O178" s="198"/>
    </row>
    <row r="179" spans="1:30" ht="15.75" x14ac:dyDescent="0.25">
      <c r="A179" s="113"/>
      <c r="B179" s="203"/>
      <c r="C179" s="207"/>
      <c r="H179" s="198"/>
      <c r="I179" s="198"/>
      <c r="J179" s="198"/>
      <c r="K179" s="198"/>
      <c r="L179" s="198"/>
      <c r="M179" s="198"/>
      <c r="N179" s="198"/>
      <c r="O179" s="198"/>
    </row>
    <row r="180" spans="1:30" x14ac:dyDescent="0.2">
      <c r="A180" s="113">
        <v>1</v>
      </c>
      <c r="H180" s="198"/>
      <c r="I180" s="198"/>
      <c r="J180" s="198"/>
      <c r="K180" s="198"/>
      <c r="L180" s="198"/>
      <c r="M180" s="198"/>
      <c r="N180" s="198"/>
      <c r="O180" s="198"/>
    </row>
    <row r="181" spans="1:30" x14ac:dyDescent="0.2">
      <c r="A181" s="113">
        <v>2</v>
      </c>
      <c r="H181" s="198"/>
      <c r="I181" s="198"/>
      <c r="J181" s="198"/>
      <c r="K181" s="198"/>
      <c r="L181" s="198"/>
      <c r="M181" s="198"/>
      <c r="N181" s="198"/>
      <c r="O181" s="198"/>
    </row>
    <row r="182" spans="1:30" s="197" customFormat="1" x14ac:dyDescent="0.2">
      <c r="A182" s="113">
        <v>3</v>
      </c>
      <c r="H182" s="198"/>
      <c r="I182" s="198"/>
      <c r="J182" s="198"/>
      <c r="K182" s="198"/>
      <c r="L182" s="198"/>
      <c r="M182" s="198"/>
      <c r="N182" s="198"/>
      <c r="O182" s="198"/>
      <c r="W182" s="202"/>
      <c r="X182" s="195"/>
      <c r="AD182" s="193"/>
    </row>
    <row r="183" spans="1:30" s="197" customFormat="1" x14ac:dyDescent="0.2">
      <c r="A183" s="113">
        <v>4</v>
      </c>
      <c r="H183" s="198"/>
      <c r="I183" s="198"/>
      <c r="J183" s="198"/>
      <c r="K183" s="198"/>
      <c r="L183" s="198"/>
      <c r="M183" s="198"/>
      <c r="N183" s="198"/>
      <c r="O183" s="198"/>
      <c r="W183" s="202"/>
      <c r="X183" s="195"/>
      <c r="AD183" s="193"/>
    </row>
    <row r="184" spans="1:30" s="197" customFormat="1" x14ac:dyDescent="0.2">
      <c r="A184" s="113">
        <v>5</v>
      </c>
      <c r="H184" s="198"/>
      <c r="I184" s="198"/>
      <c r="J184" s="198"/>
      <c r="K184" s="198"/>
      <c r="L184" s="198"/>
      <c r="M184" s="198"/>
      <c r="N184" s="198"/>
      <c r="O184" s="198"/>
      <c r="W184" s="202"/>
      <c r="X184" s="195"/>
      <c r="AD184" s="193"/>
    </row>
    <row r="185" spans="1:30" s="197" customFormat="1" x14ac:dyDescent="0.2">
      <c r="A185" s="113">
        <v>7</v>
      </c>
      <c r="H185" s="198"/>
      <c r="I185" s="198"/>
      <c r="J185" s="198"/>
      <c r="K185" s="198"/>
      <c r="L185" s="198"/>
      <c r="M185" s="198"/>
      <c r="N185" s="198"/>
      <c r="O185" s="198"/>
      <c r="W185" s="202"/>
      <c r="X185" s="195"/>
      <c r="AD185" s="193"/>
    </row>
    <row r="186" spans="1:30" s="197" customFormat="1" x14ac:dyDescent="0.2">
      <c r="A186" s="113">
        <v>8</v>
      </c>
      <c r="H186" s="198"/>
      <c r="I186" s="198"/>
      <c r="J186" s="198"/>
      <c r="K186" s="198"/>
      <c r="L186" s="198"/>
      <c r="M186" s="198"/>
      <c r="N186" s="198"/>
      <c r="O186" s="198"/>
      <c r="W186" s="202"/>
      <c r="X186" s="195"/>
      <c r="AD186" s="193"/>
    </row>
    <row r="187" spans="1:30" s="197" customFormat="1" x14ac:dyDescent="0.2">
      <c r="A187" s="113">
        <v>9</v>
      </c>
      <c r="H187" s="198"/>
      <c r="I187" s="198"/>
      <c r="J187" s="198"/>
      <c r="K187" s="198"/>
      <c r="L187" s="198"/>
      <c r="M187" s="198"/>
      <c r="N187" s="198"/>
      <c r="O187" s="198"/>
      <c r="W187" s="202"/>
      <c r="X187" s="195"/>
      <c r="AD187" s="193"/>
    </row>
    <row r="188" spans="1:30" s="197" customFormat="1" x14ac:dyDescent="0.2">
      <c r="A188" s="113">
        <v>10</v>
      </c>
      <c r="H188" s="198"/>
      <c r="I188" s="198"/>
      <c r="J188" s="198"/>
      <c r="K188" s="198"/>
      <c r="L188" s="198"/>
      <c r="M188" s="198"/>
      <c r="N188" s="198"/>
      <c r="O188" s="198"/>
      <c r="W188" s="202"/>
      <c r="X188" s="195"/>
      <c r="AD188" s="193"/>
    </row>
    <row r="189" spans="1:30" s="197" customFormat="1" ht="15.75" x14ac:dyDescent="0.25">
      <c r="A189" s="113"/>
      <c r="B189" s="189"/>
      <c r="C189" s="204"/>
      <c r="H189" s="198"/>
      <c r="I189" s="198"/>
      <c r="J189" s="198"/>
      <c r="K189" s="198"/>
      <c r="L189" s="198"/>
      <c r="M189" s="198"/>
      <c r="N189" s="198"/>
      <c r="O189" s="198"/>
      <c r="W189" s="202"/>
      <c r="X189" s="195"/>
      <c r="AD189" s="193"/>
    </row>
    <row r="190" spans="1:30" s="197" customFormat="1" x14ac:dyDescent="0.2">
      <c r="A190" s="113"/>
      <c r="B190" s="189"/>
      <c r="C190" s="206"/>
      <c r="H190" s="198"/>
      <c r="I190" s="198"/>
      <c r="J190" s="198"/>
      <c r="K190" s="198"/>
      <c r="L190" s="198"/>
      <c r="M190" s="198"/>
      <c r="N190" s="198"/>
      <c r="O190" s="198"/>
      <c r="W190" s="202"/>
      <c r="X190" s="195"/>
      <c r="AD190" s="193"/>
    </row>
    <row r="191" spans="1:30" s="197" customFormat="1" ht="15.75" x14ac:dyDescent="0.25">
      <c r="A191" s="113"/>
      <c r="B191" s="203"/>
      <c r="C191" s="207"/>
      <c r="H191" s="198"/>
      <c r="I191" s="198"/>
      <c r="J191" s="198"/>
      <c r="K191" s="198"/>
      <c r="L191" s="198"/>
      <c r="M191" s="198"/>
      <c r="N191" s="198"/>
      <c r="O191" s="198"/>
      <c r="W191" s="202"/>
      <c r="X191" s="195"/>
      <c r="AD191" s="193"/>
    </row>
    <row r="192" spans="1:30" s="197" customFormat="1" x14ac:dyDescent="0.2">
      <c r="A192" s="113">
        <v>1</v>
      </c>
      <c r="H192" s="198"/>
      <c r="I192" s="198"/>
      <c r="J192" s="198"/>
      <c r="K192" s="198"/>
      <c r="L192" s="198"/>
      <c r="M192" s="198"/>
      <c r="N192" s="198"/>
      <c r="O192" s="198"/>
      <c r="W192" s="202"/>
      <c r="X192" s="195"/>
      <c r="AD192" s="193"/>
    </row>
    <row r="193" spans="1:30" s="197" customFormat="1" x14ac:dyDescent="0.2">
      <c r="A193" s="113">
        <v>3</v>
      </c>
      <c r="H193" s="198"/>
      <c r="I193" s="198"/>
      <c r="J193" s="198"/>
      <c r="K193" s="198"/>
      <c r="L193" s="198"/>
      <c r="M193" s="198"/>
      <c r="N193" s="198"/>
      <c r="O193" s="198"/>
      <c r="W193" s="202"/>
      <c r="X193" s="195"/>
      <c r="AD193" s="193"/>
    </row>
    <row r="194" spans="1:30" s="197" customFormat="1" ht="15.75" x14ac:dyDescent="0.25">
      <c r="A194" s="113"/>
      <c r="B194" s="203"/>
      <c r="C194" s="208"/>
      <c r="H194" s="198"/>
      <c r="I194" s="198"/>
      <c r="J194" s="198"/>
      <c r="K194" s="198"/>
      <c r="L194" s="198"/>
      <c r="M194" s="198"/>
      <c r="N194" s="198"/>
      <c r="O194" s="198"/>
      <c r="W194" s="202"/>
      <c r="X194" s="195"/>
      <c r="AD194" s="193"/>
    </row>
    <row r="195" spans="1:30" s="197" customFormat="1" x14ac:dyDescent="0.2">
      <c r="A195" s="113"/>
      <c r="B195" s="203"/>
      <c r="C195" s="206"/>
      <c r="H195" s="198"/>
      <c r="I195" s="198"/>
      <c r="J195" s="198"/>
      <c r="K195" s="198"/>
      <c r="L195" s="198"/>
      <c r="M195" s="198"/>
      <c r="N195" s="198"/>
      <c r="O195" s="198"/>
      <c r="W195" s="202"/>
      <c r="X195" s="195"/>
      <c r="AD195" s="193"/>
    </row>
    <row r="196" spans="1:30" s="197" customFormat="1" ht="15.75" x14ac:dyDescent="0.25">
      <c r="A196" s="113"/>
      <c r="B196" s="203"/>
      <c r="C196" s="209"/>
      <c r="H196" s="198"/>
      <c r="I196" s="198"/>
      <c r="J196" s="198"/>
      <c r="K196" s="198"/>
      <c r="L196" s="198"/>
      <c r="M196" s="198"/>
      <c r="N196" s="198"/>
      <c r="O196" s="198"/>
      <c r="W196" s="202"/>
      <c r="X196" s="195"/>
      <c r="AD196" s="193"/>
    </row>
    <row r="197" spans="1:30" s="197" customFormat="1" ht="15.75" x14ac:dyDescent="0.25">
      <c r="A197" s="113"/>
      <c r="B197" s="203"/>
      <c r="C197" s="210"/>
      <c r="H197" s="198"/>
      <c r="I197" s="198"/>
      <c r="J197" s="198"/>
      <c r="K197" s="198"/>
      <c r="L197" s="198"/>
      <c r="M197" s="198"/>
      <c r="N197" s="198"/>
      <c r="O197" s="198"/>
      <c r="W197" s="202"/>
      <c r="X197" s="195"/>
      <c r="AD197" s="193"/>
    </row>
    <row r="198" spans="1:30" s="197" customFormat="1" x14ac:dyDescent="0.2">
      <c r="A198" s="113"/>
      <c r="B198" s="203"/>
      <c r="H198" s="198"/>
      <c r="I198" s="198"/>
      <c r="J198" s="198"/>
      <c r="K198" s="198"/>
      <c r="L198" s="198"/>
      <c r="M198" s="198"/>
      <c r="N198" s="198"/>
      <c r="O198" s="198"/>
      <c r="W198" s="202"/>
      <c r="X198" s="195"/>
      <c r="AD198" s="193"/>
    </row>
    <row r="199" spans="1:30" s="197" customFormat="1" x14ac:dyDescent="0.2">
      <c r="A199" s="113"/>
      <c r="B199" s="203"/>
      <c r="H199" s="198"/>
      <c r="I199" s="198"/>
      <c r="J199" s="198"/>
      <c r="K199" s="198"/>
      <c r="L199" s="198"/>
      <c r="M199" s="198"/>
      <c r="N199" s="198"/>
      <c r="O199" s="198"/>
      <c r="W199" s="202"/>
      <c r="X199" s="195"/>
      <c r="AD199" s="193"/>
    </row>
    <row r="200" spans="1:30" s="197" customFormat="1" x14ac:dyDescent="0.2">
      <c r="A200" s="113"/>
      <c r="B200" s="203"/>
      <c r="H200" s="198"/>
      <c r="I200" s="198"/>
      <c r="J200" s="198"/>
      <c r="K200" s="198"/>
      <c r="L200" s="198"/>
      <c r="M200" s="198"/>
      <c r="N200" s="198"/>
      <c r="O200" s="198"/>
      <c r="W200" s="202"/>
      <c r="X200" s="195"/>
      <c r="AD200" s="193"/>
    </row>
    <row r="201" spans="1:30" s="197" customFormat="1" x14ac:dyDescent="0.2">
      <c r="A201" s="113"/>
      <c r="B201" s="203"/>
      <c r="H201" s="198"/>
      <c r="I201" s="198"/>
      <c r="J201" s="198"/>
      <c r="K201" s="198"/>
      <c r="L201" s="198"/>
      <c r="M201" s="198"/>
      <c r="N201" s="198"/>
      <c r="O201" s="198"/>
      <c r="W201" s="202"/>
      <c r="X201" s="195"/>
      <c r="AD201" s="193"/>
    </row>
    <row r="202" spans="1:30" s="197" customFormat="1" x14ac:dyDescent="0.2">
      <c r="A202" s="113"/>
      <c r="B202" s="203"/>
      <c r="H202" s="198"/>
      <c r="I202" s="198"/>
      <c r="J202" s="198"/>
      <c r="K202" s="198"/>
      <c r="L202" s="198"/>
      <c r="M202" s="198"/>
      <c r="N202" s="198"/>
      <c r="O202" s="198"/>
      <c r="W202" s="202"/>
      <c r="X202" s="195"/>
      <c r="AD202" s="193"/>
    </row>
    <row r="203" spans="1:30" s="197" customFormat="1" x14ac:dyDescent="0.2">
      <c r="A203" s="113"/>
      <c r="B203" s="203"/>
      <c r="H203" s="198"/>
      <c r="I203" s="198"/>
      <c r="J203" s="198"/>
      <c r="K203" s="198"/>
      <c r="L203" s="198"/>
      <c r="M203" s="198"/>
      <c r="N203" s="198"/>
      <c r="O203" s="198"/>
      <c r="W203" s="202"/>
      <c r="X203" s="195"/>
      <c r="AD203" s="193"/>
    </row>
    <row r="204" spans="1:30" s="197" customFormat="1" x14ac:dyDescent="0.2">
      <c r="A204" s="113"/>
      <c r="B204" s="203"/>
      <c r="H204" s="198"/>
      <c r="I204" s="198"/>
      <c r="J204" s="198"/>
      <c r="K204" s="198"/>
      <c r="L204" s="198"/>
      <c r="M204" s="198"/>
      <c r="N204" s="198"/>
      <c r="O204" s="198"/>
      <c r="W204" s="202"/>
      <c r="X204" s="195"/>
      <c r="AD204" s="193"/>
    </row>
    <row r="205" spans="1:30" s="197" customFormat="1" x14ac:dyDescent="0.2">
      <c r="A205" s="113"/>
      <c r="B205" s="203"/>
      <c r="H205" s="198"/>
      <c r="I205" s="198"/>
      <c r="J205" s="198"/>
      <c r="K205" s="198"/>
      <c r="L205" s="198"/>
      <c r="M205" s="198"/>
      <c r="N205" s="198"/>
      <c r="O205" s="198"/>
      <c r="W205" s="202"/>
      <c r="X205" s="195"/>
      <c r="AD205" s="193"/>
    </row>
    <row r="206" spans="1:30" s="197" customFormat="1" x14ac:dyDescent="0.2">
      <c r="A206" s="113"/>
      <c r="B206" s="203"/>
      <c r="H206" s="198"/>
      <c r="I206" s="198"/>
      <c r="J206" s="198"/>
      <c r="K206" s="198"/>
      <c r="L206" s="198"/>
      <c r="M206" s="198"/>
      <c r="N206" s="198"/>
      <c r="O206" s="198"/>
      <c r="W206" s="202"/>
      <c r="X206" s="195"/>
      <c r="AD206" s="193"/>
    </row>
    <row r="207" spans="1:30" s="197" customFormat="1" x14ac:dyDescent="0.2">
      <c r="A207" s="113"/>
      <c r="B207" s="203"/>
      <c r="H207" s="198"/>
      <c r="I207" s="198"/>
      <c r="J207" s="198"/>
      <c r="K207" s="198"/>
      <c r="L207" s="198"/>
      <c r="M207" s="198"/>
      <c r="N207" s="198"/>
      <c r="O207" s="198"/>
      <c r="W207" s="202"/>
      <c r="X207" s="195"/>
      <c r="AD207" s="193"/>
    </row>
    <row r="208" spans="1:30" s="197" customFormat="1" x14ac:dyDescent="0.2">
      <c r="A208" s="113"/>
      <c r="B208" s="203"/>
      <c r="H208" s="198"/>
      <c r="I208" s="198"/>
      <c r="J208" s="198"/>
      <c r="K208" s="198"/>
      <c r="L208" s="198"/>
      <c r="M208" s="198"/>
      <c r="N208" s="198"/>
      <c r="O208" s="198"/>
      <c r="W208" s="202"/>
      <c r="X208" s="195"/>
      <c r="AD208" s="193"/>
    </row>
    <row r="209" spans="1:30" s="197" customFormat="1" x14ac:dyDescent="0.2">
      <c r="A209"/>
      <c r="B209" s="203"/>
      <c r="H209" s="198"/>
      <c r="I209" s="198"/>
      <c r="J209" s="198"/>
      <c r="K209" s="198"/>
      <c r="L209" s="198"/>
      <c r="M209" s="198"/>
      <c r="N209" s="198"/>
      <c r="O209" s="198"/>
      <c r="W209" s="202"/>
      <c r="X209" s="195"/>
      <c r="AD209" s="193"/>
    </row>
    <row r="210" spans="1:30" s="197" customFormat="1" x14ac:dyDescent="0.2">
      <c r="A210"/>
      <c r="B210" s="203"/>
      <c r="H210" s="198"/>
      <c r="I210" s="198"/>
      <c r="J210" s="198"/>
      <c r="K210" s="198"/>
      <c r="L210" s="198"/>
      <c r="M210" s="198"/>
      <c r="N210" s="198"/>
      <c r="O210" s="198"/>
      <c r="W210" s="202"/>
      <c r="X210" s="195"/>
      <c r="AD210" s="193"/>
    </row>
    <row r="211" spans="1:30" s="197" customFormat="1" x14ac:dyDescent="0.2">
      <c r="A211"/>
      <c r="B211" s="203"/>
      <c r="H211" s="198"/>
      <c r="I211" s="198"/>
      <c r="J211" s="198"/>
      <c r="K211" s="198"/>
      <c r="L211" s="198"/>
      <c r="M211" s="198"/>
      <c r="N211" s="198"/>
      <c r="O211" s="198"/>
      <c r="W211" s="202"/>
      <c r="X211" s="195"/>
      <c r="AD211" s="193"/>
    </row>
    <row r="212" spans="1:30" s="197" customFormat="1" x14ac:dyDescent="0.2">
      <c r="A212"/>
      <c r="B212" s="203"/>
      <c r="H212" s="198"/>
      <c r="I212" s="198"/>
      <c r="J212" s="198"/>
      <c r="K212" s="198"/>
      <c r="L212" s="198"/>
      <c r="M212" s="198"/>
      <c r="N212" s="198"/>
      <c r="O212" s="198"/>
      <c r="W212" s="202"/>
      <c r="X212" s="195"/>
      <c r="AD212" s="193"/>
    </row>
    <row r="213" spans="1:30" s="197" customFormat="1" x14ac:dyDescent="0.2">
      <c r="A213"/>
      <c r="B213" s="203"/>
      <c r="H213" s="198"/>
      <c r="I213" s="198"/>
      <c r="J213" s="198"/>
      <c r="K213" s="198"/>
      <c r="L213" s="198"/>
      <c r="M213" s="198"/>
      <c r="N213" s="198"/>
      <c r="O213" s="198"/>
      <c r="W213" s="202"/>
      <c r="X213" s="195"/>
      <c r="AD213" s="193"/>
    </row>
    <row r="214" spans="1:30" s="197" customFormat="1" x14ac:dyDescent="0.2">
      <c r="A214"/>
      <c r="B214" s="203"/>
      <c r="H214" s="198"/>
      <c r="I214" s="198"/>
      <c r="J214" s="198"/>
      <c r="K214" s="198"/>
      <c r="L214" s="198"/>
      <c r="M214" s="198"/>
      <c r="N214" s="198"/>
      <c r="O214" s="198"/>
      <c r="W214" s="202"/>
      <c r="X214" s="195"/>
      <c r="AD214" s="193"/>
    </row>
    <row r="215" spans="1:30" s="197" customFormat="1" x14ac:dyDescent="0.2">
      <c r="A215"/>
      <c r="B215" s="203"/>
      <c r="H215" s="198"/>
      <c r="I215" s="198"/>
      <c r="J215" s="198"/>
      <c r="K215" s="198"/>
      <c r="L215" s="198"/>
      <c r="M215" s="198"/>
      <c r="N215" s="198"/>
      <c r="O215" s="198"/>
      <c r="W215" s="202"/>
      <c r="X215" s="195"/>
      <c r="AD215" s="193"/>
    </row>
    <row r="216" spans="1:30" s="197" customFormat="1" x14ac:dyDescent="0.2">
      <c r="A216"/>
      <c r="B216" s="203"/>
      <c r="H216" s="198"/>
      <c r="I216" s="198"/>
      <c r="J216" s="198"/>
      <c r="K216" s="198"/>
      <c r="L216" s="198"/>
      <c r="M216" s="198"/>
      <c r="N216" s="198"/>
      <c r="O216" s="198"/>
      <c r="W216" s="202"/>
      <c r="X216" s="195"/>
      <c r="AD216" s="193"/>
    </row>
    <row r="217" spans="1:30" s="197" customFormat="1" x14ac:dyDescent="0.2">
      <c r="A217"/>
      <c r="B217" s="203"/>
      <c r="H217" s="198"/>
      <c r="I217" s="198"/>
      <c r="J217" s="198"/>
      <c r="K217" s="198"/>
      <c r="L217" s="198"/>
      <c r="M217" s="198"/>
      <c r="N217" s="198"/>
      <c r="O217" s="198"/>
      <c r="W217" s="202"/>
      <c r="X217" s="195"/>
      <c r="AD217" s="193"/>
    </row>
    <row r="218" spans="1:30" s="197" customFormat="1" x14ac:dyDescent="0.2">
      <c r="A218"/>
      <c r="B218" s="203"/>
      <c r="H218" s="198"/>
      <c r="I218" s="198"/>
      <c r="J218" s="198"/>
      <c r="K218" s="198"/>
      <c r="L218" s="198"/>
      <c r="M218" s="198"/>
      <c r="N218" s="198"/>
      <c r="O218" s="198"/>
      <c r="W218" s="202"/>
      <c r="X218" s="195"/>
      <c r="AD218" s="193"/>
    </row>
    <row r="219" spans="1:30" s="197" customFormat="1" x14ac:dyDescent="0.2">
      <c r="A219"/>
      <c r="B219" s="203"/>
      <c r="H219" s="198"/>
      <c r="I219" s="198"/>
      <c r="J219" s="198"/>
      <c r="K219" s="198"/>
      <c r="L219" s="198"/>
      <c r="M219" s="198"/>
      <c r="N219" s="198"/>
      <c r="O219" s="198"/>
      <c r="W219" s="202"/>
      <c r="X219" s="195"/>
      <c r="AD219" s="193"/>
    </row>
    <row r="220" spans="1:30" s="197" customFormat="1" x14ac:dyDescent="0.2">
      <c r="A220"/>
      <c r="B220" s="203"/>
      <c r="H220" s="198"/>
      <c r="I220" s="198"/>
      <c r="J220" s="198"/>
      <c r="K220" s="198"/>
      <c r="L220" s="198"/>
      <c r="M220" s="198"/>
      <c r="N220" s="198"/>
      <c r="O220" s="198"/>
      <c r="W220" s="202"/>
      <c r="X220" s="195"/>
      <c r="AD220" s="193"/>
    </row>
    <row r="221" spans="1:30" s="197" customFormat="1" x14ac:dyDescent="0.2">
      <c r="A221"/>
      <c r="B221" s="203"/>
      <c r="H221" s="198"/>
      <c r="I221" s="198"/>
      <c r="J221" s="198"/>
      <c r="K221" s="198"/>
      <c r="L221" s="198"/>
      <c r="M221" s="198"/>
      <c r="N221" s="198"/>
      <c r="O221" s="198"/>
      <c r="W221" s="202"/>
      <c r="X221" s="195"/>
      <c r="AD221" s="193"/>
    </row>
    <row r="222" spans="1:30" s="197" customFormat="1" x14ac:dyDescent="0.2">
      <c r="A222"/>
      <c r="B222" s="203"/>
      <c r="H222" s="198"/>
      <c r="I222" s="198"/>
      <c r="J222" s="198"/>
      <c r="K222" s="198"/>
      <c r="L222" s="198"/>
      <c r="M222" s="198"/>
      <c r="N222" s="198"/>
      <c r="O222" s="198"/>
      <c r="W222" s="202"/>
      <c r="X222" s="195"/>
      <c r="AD222" s="193"/>
    </row>
    <row r="223" spans="1:30" s="197" customFormat="1" x14ac:dyDescent="0.2">
      <c r="A223"/>
      <c r="B223" s="203"/>
      <c r="H223" s="198"/>
      <c r="I223" s="198"/>
      <c r="J223" s="198"/>
      <c r="K223" s="198"/>
      <c r="L223" s="198"/>
      <c r="M223" s="198"/>
      <c r="N223" s="198"/>
      <c r="O223" s="198"/>
      <c r="W223" s="202"/>
      <c r="X223" s="195"/>
      <c r="AD223" s="193"/>
    </row>
    <row r="224" spans="1:30" s="197" customFormat="1" x14ac:dyDescent="0.2">
      <c r="A224"/>
      <c r="B224" s="203"/>
      <c r="H224" s="198"/>
      <c r="I224" s="198"/>
      <c r="J224" s="198"/>
      <c r="K224" s="198"/>
      <c r="L224" s="198"/>
      <c r="M224" s="198"/>
      <c r="N224" s="198"/>
      <c r="O224" s="198"/>
      <c r="W224" s="202"/>
      <c r="X224" s="195"/>
      <c r="AD224" s="193"/>
    </row>
    <row r="225" spans="1:30" s="197" customFormat="1" x14ac:dyDescent="0.2">
      <c r="A225"/>
      <c r="B225" s="203"/>
      <c r="H225" s="198"/>
      <c r="I225" s="198"/>
      <c r="J225" s="198"/>
      <c r="K225" s="198"/>
      <c r="L225" s="198"/>
      <c r="M225" s="198"/>
      <c r="N225" s="198"/>
      <c r="O225" s="198"/>
      <c r="W225" s="202"/>
      <c r="X225" s="195"/>
      <c r="AD225" s="193"/>
    </row>
    <row r="226" spans="1:30" s="197" customFormat="1" x14ac:dyDescent="0.2">
      <c r="A226"/>
      <c r="B226" s="203"/>
      <c r="H226" s="198"/>
      <c r="I226" s="198"/>
      <c r="J226" s="198"/>
      <c r="K226" s="198"/>
      <c r="L226" s="198"/>
      <c r="M226" s="198"/>
      <c r="N226" s="198"/>
      <c r="O226" s="198"/>
      <c r="W226" s="202"/>
      <c r="X226" s="195"/>
      <c r="AD226" s="193"/>
    </row>
    <row r="227" spans="1:30" s="197" customFormat="1" x14ac:dyDescent="0.2">
      <c r="A227"/>
      <c r="B227" s="203"/>
      <c r="H227" s="198"/>
      <c r="I227" s="198"/>
      <c r="J227" s="198"/>
      <c r="K227" s="198"/>
      <c r="L227" s="198"/>
      <c r="M227" s="198"/>
      <c r="N227" s="198"/>
      <c r="O227" s="198"/>
      <c r="W227" s="202"/>
      <c r="X227" s="195"/>
      <c r="AD227" s="193"/>
    </row>
    <row r="228" spans="1:30" s="197" customFormat="1" x14ac:dyDescent="0.2">
      <c r="A228"/>
      <c r="B228" s="203"/>
      <c r="H228" s="198"/>
      <c r="I228" s="198"/>
      <c r="J228" s="198"/>
      <c r="K228" s="198"/>
      <c r="L228" s="198"/>
      <c r="M228" s="198"/>
      <c r="N228" s="198"/>
      <c r="O228" s="198"/>
      <c r="W228" s="202"/>
      <c r="X228" s="195"/>
      <c r="AD228" s="193"/>
    </row>
    <row r="229" spans="1:30" s="197" customFormat="1" x14ac:dyDescent="0.2">
      <c r="A229"/>
      <c r="B229" s="203"/>
      <c r="H229" s="198"/>
      <c r="I229" s="198"/>
      <c r="J229" s="198"/>
      <c r="K229" s="198"/>
      <c r="L229" s="198"/>
      <c r="M229" s="198"/>
      <c r="N229" s="198"/>
      <c r="O229" s="198"/>
      <c r="W229" s="202"/>
      <c r="X229" s="195"/>
      <c r="AD229" s="193"/>
    </row>
    <row r="230" spans="1:30" s="197" customFormat="1" x14ac:dyDescent="0.2">
      <c r="A230"/>
      <c r="B230" s="203"/>
      <c r="H230" s="198"/>
      <c r="I230" s="198"/>
      <c r="J230" s="198"/>
      <c r="K230" s="198"/>
      <c r="L230" s="198"/>
      <c r="M230" s="198"/>
      <c r="N230" s="198"/>
      <c r="O230" s="198"/>
      <c r="W230" s="202"/>
      <c r="X230" s="195"/>
      <c r="AD230" s="193"/>
    </row>
    <row r="231" spans="1:30" s="197" customFormat="1" x14ac:dyDescent="0.2">
      <c r="A231"/>
      <c r="B231" s="203"/>
      <c r="H231" s="198"/>
      <c r="I231" s="198"/>
      <c r="J231" s="198"/>
      <c r="K231" s="198"/>
      <c r="L231" s="198"/>
      <c r="M231" s="198"/>
      <c r="N231" s="198"/>
      <c r="O231" s="198"/>
      <c r="W231" s="202"/>
      <c r="X231" s="195"/>
      <c r="AD231" s="193"/>
    </row>
    <row r="232" spans="1:30" s="197" customFormat="1" x14ac:dyDescent="0.2">
      <c r="A232"/>
      <c r="B232" s="203"/>
      <c r="H232" s="198"/>
      <c r="I232" s="198"/>
      <c r="J232" s="198"/>
      <c r="K232" s="198"/>
      <c r="L232" s="198"/>
      <c r="M232" s="198"/>
      <c r="N232" s="198"/>
      <c r="O232" s="198"/>
      <c r="W232" s="202"/>
      <c r="X232" s="195"/>
      <c r="AD232" s="193"/>
    </row>
    <row r="233" spans="1:30" s="197" customFormat="1" x14ac:dyDescent="0.2">
      <c r="A233"/>
      <c r="B233" s="203"/>
      <c r="H233" s="198"/>
      <c r="I233" s="198"/>
      <c r="J233" s="198"/>
      <c r="K233" s="198"/>
      <c r="L233" s="198"/>
      <c r="M233" s="198"/>
      <c r="N233" s="198"/>
      <c r="O233" s="198"/>
      <c r="W233" s="202"/>
      <c r="X233" s="195"/>
      <c r="AD233" s="193"/>
    </row>
    <row r="234" spans="1:30" s="197" customFormat="1" x14ac:dyDescent="0.2">
      <c r="A234"/>
      <c r="B234" s="203"/>
      <c r="H234" s="198"/>
      <c r="I234" s="198"/>
      <c r="J234" s="198"/>
      <c r="K234" s="198"/>
      <c r="L234" s="198"/>
      <c r="M234" s="198"/>
      <c r="N234" s="198"/>
      <c r="O234" s="198"/>
      <c r="W234" s="202"/>
      <c r="X234" s="195"/>
      <c r="AD234" s="193"/>
    </row>
    <row r="235" spans="1:30" s="197" customFormat="1" x14ac:dyDescent="0.2">
      <c r="A235"/>
      <c r="B235" s="203"/>
      <c r="H235" s="198"/>
      <c r="I235" s="198"/>
      <c r="J235" s="198"/>
      <c r="K235" s="198"/>
      <c r="L235" s="198"/>
      <c r="M235" s="198"/>
      <c r="N235" s="198"/>
      <c r="O235" s="198"/>
      <c r="W235" s="202"/>
      <c r="X235" s="195"/>
      <c r="AD235" s="193"/>
    </row>
    <row r="236" spans="1:30" s="197" customFormat="1" x14ac:dyDescent="0.2">
      <c r="A236"/>
      <c r="B236" s="203"/>
      <c r="H236" s="198"/>
      <c r="I236" s="198"/>
      <c r="J236" s="198"/>
      <c r="K236" s="198"/>
      <c r="L236" s="198"/>
      <c r="M236" s="198"/>
      <c r="N236" s="198"/>
      <c r="O236" s="198"/>
      <c r="W236" s="202"/>
      <c r="X236" s="195"/>
      <c r="AD236" s="193"/>
    </row>
    <row r="237" spans="1:30" s="197" customFormat="1" x14ac:dyDescent="0.2">
      <c r="A237"/>
      <c r="B237" s="203"/>
      <c r="H237" s="198"/>
      <c r="I237" s="198"/>
      <c r="J237" s="198"/>
      <c r="K237" s="198"/>
      <c r="L237" s="198"/>
      <c r="M237" s="198"/>
      <c r="N237" s="198"/>
      <c r="O237" s="198"/>
      <c r="W237" s="202"/>
      <c r="X237" s="195"/>
      <c r="AD237" s="193"/>
    </row>
    <row r="238" spans="1:30" s="197" customFormat="1" x14ac:dyDescent="0.2">
      <c r="A238"/>
      <c r="B238" s="203"/>
      <c r="H238" s="198"/>
      <c r="I238" s="198"/>
      <c r="J238" s="198"/>
      <c r="K238" s="198"/>
      <c r="L238" s="198"/>
      <c r="M238" s="198"/>
      <c r="N238" s="198"/>
      <c r="O238" s="198"/>
      <c r="W238" s="202"/>
      <c r="X238" s="195"/>
      <c r="AD238" s="193"/>
    </row>
    <row r="239" spans="1:30" s="197" customFormat="1" x14ac:dyDescent="0.2">
      <c r="A239"/>
      <c r="B239" s="203"/>
      <c r="H239" s="198"/>
      <c r="I239" s="198"/>
      <c r="J239" s="198"/>
      <c r="K239" s="198"/>
      <c r="L239" s="198"/>
      <c r="M239" s="198"/>
      <c r="N239" s="198"/>
      <c r="O239" s="198"/>
      <c r="W239" s="202"/>
      <c r="X239" s="195"/>
      <c r="AD239" s="193"/>
    </row>
    <row r="240" spans="1:30" s="197" customFormat="1" x14ac:dyDescent="0.2">
      <c r="A240"/>
      <c r="B240" s="203"/>
      <c r="H240" s="198"/>
      <c r="I240" s="198"/>
      <c r="J240" s="198"/>
      <c r="K240" s="198"/>
      <c r="L240" s="198"/>
      <c r="M240" s="198"/>
      <c r="N240" s="198"/>
      <c r="O240" s="198"/>
      <c r="W240" s="202"/>
      <c r="X240" s="195"/>
      <c r="AD240" s="193"/>
    </row>
    <row r="241" spans="1:30" s="197" customFormat="1" x14ac:dyDescent="0.2">
      <c r="A241"/>
      <c r="B241" s="203"/>
      <c r="H241" s="198"/>
      <c r="I241" s="198"/>
      <c r="J241" s="198"/>
      <c r="K241" s="198"/>
      <c r="L241" s="198"/>
      <c r="M241" s="198"/>
      <c r="N241" s="198"/>
      <c r="O241" s="198"/>
      <c r="W241" s="202"/>
      <c r="X241" s="195"/>
      <c r="AD241" s="193"/>
    </row>
    <row r="242" spans="1:30" s="197" customFormat="1" x14ac:dyDescent="0.2">
      <c r="A242"/>
      <c r="B242" s="203"/>
      <c r="H242" s="198"/>
      <c r="I242" s="198"/>
      <c r="J242" s="198"/>
      <c r="K242" s="198"/>
      <c r="L242" s="198"/>
      <c r="M242" s="198"/>
      <c r="N242" s="198"/>
      <c r="O242" s="198"/>
      <c r="W242" s="202"/>
      <c r="X242" s="195"/>
      <c r="AD242" s="193"/>
    </row>
    <row r="243" spans="1:30" s="197" customFormat="1" x14ac:dyDescent="0.2">
      <c r="A243"/>
      <c r="B243" s="203"/>
      <c r="H243" s="198"/>
      <c r="I243" s="198"/>
      <c r="J243" s="198"/>
      <c r="K243" s="198"/>
      <c r="L243" s="198"/>
      <c r="M243" s="198"/>
      <c r="N243" s="198"/>
      <c r="O243" s="198"/>
      <c r="W243" s="202"/>
      <c r="X243" s="195"/>
      <c r="AD243" s="193"/>
    </row>
    <row r="244" spans="1:30" s="197" customFormat="1" x14ac:dyDescent="0.2">
      <c r="A244"/>
      <c r="B244" s="203"/>
      <c r="H244" s="198"/>
      <c r="I244" s="198"/>
      <c r="J244" s="198"/>
      <c r="K244" s="198"/>
      <c r="L244" s="198"/>
      <c r="M244" s="198"/>
      <c r="N244" s="198"/>
      <c r="O244" s="198"/>
      <c r="W244" s="202"/>
      <c r="X244" s="195"/>
      <c r="AD244" s="193"/>
    </row>
    <row r="245" spans="1:30" s="197" customFormat="1" x14ac:dyDescent="0.2">
      <c r="A245"/>
      <c r="B245" s="203"/>
      <c r="H245" s="198"/>
      <c r="I245" s="198"/>
      <c r="J245" s="198"/>
      <c r="K245" s="198"/>
      <c r="L245" s="198"/>
      <c r="M245" s="198"/>
      <c r="N245" s="198"/>
      <c r="O245" s="198"/>
      <c r="W245" s="202"/>
      <c r="X245" s="195"/>
      <c r="AD245" s="193"/>
    </row>
    <row r="246" spans="1:30" s="197" customFormat="1" x14ac:dyDescent="0.2">
      <c r="A246"/>
      <c r="B246" s="203"/>
      <c r="H246" s="198"/>
      <c r="I246" s="198"/>
      <c r="J246" s="198"/>
      <c r="K246" s="198"/>
      <c r="L246" s="198"/>
      <c r="M246" s="198"/>
      <c r="N246" s="198"/>
      <c r="O246" s="198"/>
      <c r="W246" s="202"/>
      <c r="X246" s="195"/>
      <c r="AD246" s="193"/>
    </row>
    <row r="247" spans="1:30" s="197" customFormat="1" x14ac:dyDescent="0.2">
      <c r="A247"/>
      <c r="B247" s="203"/>
      <c r="H247" s="198"/>
      <c r="I247" s="198"/>
      <c r="J247" s="198"/>
      <c r="K247" s="198"/>
      <c r="L247" s="198"/>
      <c r="M247" s="198"/>
      <c r="N247" s="198"/>
      <c r="O247" s="198"/>
      <c r="W247" s="202"/>
      <c r="X247" s="195"/>
      <c r="AD247" s="193"/>
    </row>
    <row r="248" spans="1:30" s="197" customFormat="1" x14ac:dyDescent="0.2">
      <c r="A248"/>
      <c r="B248" s="203"/>
      <c r="H248" s="198"/>
      <c r="I248" s="198"/>
      <c r="J248" s="198"/>
      <c r="K248" s="198"/>
      <c r="L248" s="198"/>
      <c r="M248" s="198"/>
      <c r="N248" s="198"/>
      <c r="O248" s="198"/>
      <c r="W248" s="202"/>
      <c r="X248" s="195"/>
      <c r="AD248" s="193"/>
    </row>
    <row r="249" spans="1:30" s="197" customFormat="1" x14ac:dyDescent="0.2">
      <c r="A249"/>
      <c r="B249" s="203"/>
      <c r="H249" s="198"/>
      <c r="I249" s="198"/>
      <c r="J249" s="198"/>
      <c r="K249" s="198"/>
      <c r="L249" s="198"/>
      <c r="M249" s="198"/>
      <c r="N249" s="198"/>
      <c r="O249" s="198"/>
      <c r="W249" s="202"/>
      <c r="X249" s="195"/>
      <c r="AD249" s="193"/>
    </row>
    <row r="250" spans="1:30" s="197" customFormat="1" x14ac:dyDescent="0.2">
      <c r="A250"/>
      <c r="B250" s="203"/>
      <c r="H250" s="198"/>
      <c r="I250" s="198"/>
      <c r="J250" s="198"/>
      <c r="K250" s="198"/>
      <c r="L250" s="198"/>
      <c r="M250" s="198"/>
      <c r="N250" s="198"/>
      <c r="O250" s="198"/>
      <c r="W250" s="202"/>
      <c r="X250" s="195"/>
      <c r="AD250" s="193"/>
    </row>
    <row r="251" spans="1:30" s="197" customFormat="1" x14ac:dyDescent="0.2">
      <c r="A251"/>
      <c r="B251" s="203"/>
      <c r="H251" s="198"/>
      <c r="I251" s="198"/>
      <c r="J251" s="198"/>
      <c r="K251" s="198"/>
      <c r="L251" s="198"/>
      <c r="M251" s="198"/>
      <c r="N251" s="198"/>
      <c r="O251" s="198"/>
      <c r="W251" s="202"/>
      <c r="X251" s="195"/>
      <c r="AD251" s="193"/>
    </row>
    <row r="252" spans="1:30" s="197" customFormat="1" x14ac:dyDescent="0.2">
      <c r="A252"/>
      <c r="B252" s="203"/>
      <c r="H252" s="198"/>
      <c r="I252" s="198"/>
      <c r="J252" s="198"/>
      <c r="K252" s="198"/>
      <c r="L252" s="198"/>
      <c r="M252" s="198"/>
      <c r="N252" s="198"/>
      <c r="O252" s="198"/>
      <c r="W252" s="202"/>
      <c r="X252" s="195"/>
      <c r="AD252" s="193"/>
    </row>
    <row r="253" spans="1:30" s="197" customFormat="1" x14ac:dyDescent="0.2">
      <c r="A253"/>
      <c r="B253" s="203"/>
      <c r="H253" s="198"/>
      <c r="I253" s="198"/>
      <c r="J253" s="198"/>
      <c r="K253" s="198"/>
      <c r="L253" s="198"/>
      <c r="M253" s="198"/>
      <c r="N253" s="198"/>
      <c r="O253" s="198"/>
      <c r="W253" s="202"/>
      <c r="X253" s="195"/>
      <c r="AD253" s="193"/>
    </row>
    <row r="254" spans="1:30" s="197" customFormat="1" x14ac:dyDescent="0.2">
      <c r="A254"/>
      <c r="B254" s="203"/>
      <c r="H254" s="198"/>
      <c r="I254" s="198"/>
      <c r="J254" s="198"/>
      <c r="K254" s="198"/>
      <c r="L254" s="198"/>
      <c r="M254" s="198"/>
      <c r="N254" s="198"/>
      <c r="O254" s="198"/>
      <c r="W254" s="202"/>
      <c r="X254" s="195"/>
      <c r="AD254" s="193"/>
    </row>
    <row r="255" spans="1:30" s="197" customFormat="1" x14ac:dyDescent="0.2">
      <c r="A255"/>
      <c r="B255" s="203"/>
      <c r="H255" s="198"/>
      <c r="I255" s="198"/>
      <c r="J255" s="198"/>
      <c r="K255" s="198"/>
      <c r="L255" s="198"/>
      <c r="M255" s="198"/>
      <c r="N255" s="198"/>
      <c r="O255" s="198"/>
      <c r="W255" s="202"/>
      <c r="X255" s="195"/>
      <c r="AD255" s="193"/>
    </row>
    <row r="256" spans="1:30" s="197" customFormat="1" x14ac:dyDescent="0.2">
      <c r="A256"/>
      <c r="B256" s="203"/>
      <c r="H256" s="198"/>
      <c r="I256" s="198"/>
      <c r="J256" s="198"/>
      <c r="K256" s="198"/>
      <c r="L256" s="198"/>
      <c r="M256" s="198"/>
      <c r="N256" s="198"/>
      <c r="O256" s="198"/>
      <c r="W256" s="202"/>
      <c r="X256" s="195"/>
      <c r="AD256" s="193"/>
    </row>
    <row r="257" spans="1:30" s="197" customFormat="1" x14ac:dyDescent="0.2">
      <c r="A257"/>
      <c r="B257" s="203"/>
      <c r="H257" s="198"/>
      <c r="I257" s="198"/>
      <c r="J257" s="198"/>
      <c r="K257" s="198"/>
      <c r="L257" s="198"/>
      <c r="M257" s="198"/>
      <c r="N257" s="198"/>
      <c r="O257" s="198"/>
      <c r="W257" s="202"/>
      <c r="X257" s="195"/>
      <c r="AD257" s="193"/>
    </row>
    <row r="258" spans="1:30" s="197" customFormat="1" x14ac:dyDescent="0.2">
      <c r="A258"/>
      <c r="B258" s="203"/>
      <c r="H258" s="198"/>
      <c r="I258" s="198"/>
      <c r="J258" s="198"/>
      <c r="K258" s="198"/>
      <c r="L258" s="198"/>
      <c r="M258" s="198"/>
      <c r="N258" s="198"/>
      <c r="O258" s="198"/>
      <c r="W258" s="202"/>
      <c r="X258" s="195"/>
      <c r="AD258" s="193"/>
    </row>
    <row r="259" spans="1:30" s="197" customFormat="1" x14ac:dyDescent="0.2">
      <c r="A259"/>
      <c r="B259" s="203"/>
      <c r="H259" s="198"/>
      <c r="I259" s="198"/>
      <c r="J259" s="198"/>
      <c r="K259" s="198"/>
      <c r="L259" s="198"/>
      <c r="M259" s="198"/>
      <c r="N259" s="198"/>
      <c r="O259" s="198"/>
      <c r="W259" s="202"/>
      <c r="X259" s="195"/>
      <c r="AD259" s="193"/>
    </row>
    <row r="260" spans="1:30" s="197" customFormat="1" x14ac:dyDescent="0.2">
      <c r="A260"/>
      <c r="B260" s="203"/>
      <c r="H260" s="198"/>
      <c r="I260" s="198"/>
      <c r="J260" s="198"/>
      <c r="K260" s="198"/>
      <c r="L260" s="198"/>
      <c r="M260" s="198"/>
      <c r="N260" s="198"/>
      <c r="O260" s="198"/>
      <c r="W260" s="202"/>
      <c r="X260" s="195"/>
      <c r="AD260" s="193"/>
    </row>
    <row r="261" spans="1:30" s="197" customFormat="1" x14ac:dyDescent="0.2">
      <c r="A261"/>
      <c r="B261" s="203"/>
      <c r="H261" s="198"/>
      <c r="I261" s="198"/>
      <c r="J261" s="198"/>
      <c r="K261" s="198"/>
      <c r="L261" s="198"/>
      <c r="M261" s="198"/>
      <c r="N261" s="198"/>
      <c r="O261" s="198"/>
      <c r="W261" s="202"/>
      <c r="X261" s="195"/>
      <c r="AD261" s="193"/>
    </row>
    <row r="262" spans="1:30" s="197" customFormat="1" x14ac:dyDescent="0.2">
      <c r="A262"/>
      <c r="B262" s="203"/>
      <c r="H262" s="198"/>
      <c r="I262" s="198"/>
      <c r="J262" s="198"/>
      <c r="K262" s="198"/>
      <c r="L262" s="198"/>
      <c r="M262" s="198"/>
      <c r="N262" s="198"/>
      <c r="O262" s="198"/>
      <c r="W262" s="202"/>
      <c r="X262" s="195"/>
      <c r="AD262" s="193"/>
    </row>
    <row r="263" spans="1:30" s="197" customFormat="1" x14ac:dyDescent="0.2">
      <c r="A263"/>
      <c r="B263" s="203"/>
      <c r="H263" s="198"/>
      <c r="I263" s="198"/>
      <c r="J263" s="198"/>
      <c r="K263" s="198"/>
      <c r="L263" s="198"/>
      <c r="M263" s="198"/>
      <c r="N263" s="198"/>
      <c r="O263" s="198"/>
      <c r="W263" s="202"/>
      <c r="X263" s="195"/>
      <c r="AD263" s="193"/>
    </row>
    <row r="264" spans="1:30" s="197" customFormat="1" x14ac:dyDescent="0.2">
      <c r="A264"/>
      <c r="B264" s="203"/>
      <c r="H264" s="198"/>
      <c r="I264" s="198"/>
      <c r="J264" s="198"/>
      <c r="K264" s="198"/>
      <c r="L264" s="198"/>
      <c r="M264" s="198"/>
      <c r="N264" s="198"/>
      <c r="O264" s="198"/>
      <c r="W264" s="202"/>
      <c r="X264" s="195"/>
      <c r="AD264" s="193"/>
    </row>
    <row r="265" spans="1:30" s="197" customFormat="1" x14ac:dyDescent="0.2">
      <c r="A265"/>
      <c r="B265" s="203"/>
      <c r="H265" s="198"/>
      <c r="I265" s="198"/>
      <c r="J265" s="198"/>
      <c r="K265" s="198"/>
      <c r="L265" s="198"/>
      <c r="M265" s="198"/>
      <c r="N265" s="198"/>
      <c r="O265" s="198"/>
      <c r="W265" s="202"/>
      <c r="X265" s="195"/>
      <c r="AD265" s="193"/>
    </row>
    <row r="266" spans="1:30" s="197" customFormat="1" x14ac:dyDescent="0.2">
      <c r="A266"/>
      <c r="B266" s="203"/>
      <c r="H266" s="198"/>
      <c r="I266" s="198"/>
      <c r="J266" s="198"/>
      <c r="K266" s="198"/>
      <c r="L266" s="198"/>
      <c r="M266" s="198"/>
      <c r="N266" s="198"/>
      <c r="O266" s="198"/>
      <c r="W266" s="202"/>
      <c r="X266" s="195"/>
      <c r="AD266" s="193"/>
    </row>
    <row r="267" spans="1:30" s="197" customFormat="1" x14ac:dyDescent="0.2">
      <c r="A267"/>
      <c r="B267" s="203"/>
      <c r="H267" s="198"/>
      <c r="I267" s="198"/>
      <c r="J267" s="198"/>
      <c r="K267" s="198"/>
      <c r="L267" s="198"/>
      <c r="M267" s="198"/>
      <c r="N267" s="198"/>
      <c r="O267" s="198"/>
      <c r="W267" s="202"/>
      <c r="X267" s="195"/>
      <c r="AD267" s="193"/>
    </row>
    <row r="268" spans="1:30" s="197" customFormat="1" x14ac:dyDescent="0.2">
      <c r="A268"/>
      <c r="B268" s="203"/>
      <c r="H268" s="198"/>
      <c r="I268" s="198"/>
      <c r="J268" s="198"/>
      <c r="K268" s="198"/>
      <c r="L268" s="198"/>
      <c r="M268" s="198"/>
      <c r="N268" s="198"/>
      <c r="O268" s="198"/>
      <c r="W268" s="202"/>
      <c r="X268" s="195"/>
      <c r="AD268" s="193"/>
    </row>
    <row r="269" spans="1:30" s="197" customFormat="1" x14ac:dyDescent="0.2">
      <c r="A269"/>
      <c r="B269" s="203"/>
      <c r="H269" s="198"/>
      <c r="I269" s="198"/>
      <c r="J269" s="198"/>
      <c r="K269" s="198"/>
      <c r="L269" s="198"/>
      <c r="M269" s="198"/>
      <c r="N269" s="198"/>
      <c r="O269" s="198"/>
      <c r="W269" s="202"/>
      <c r="X269" s="195"/>
      <c r="AD269" s="193"/>
    </row>
    <row r="270" spans="1:30" s="197" customFormat="1" x14ac:dyDescent="0.2">
      <c r="A270"/>
      <c r="B270" s="203"/>
      <c r="H270" s="198"/>
      <c r="I270" s="198"/>
      <c r="J270" s="198"/>
      <c r="K270" s="198"/>
      <c r="L270" s="198"/>
      <c r="M270" s="198"/>
      <c r="N270" s="198"/>
      <c r="O270" s="198"/>
      <c r="W270" s="202"/>
      <c r="X270" s="195"/>
      <c r="AD270" s="193"/>
    </row>
    <row r="271" spans="1:30" s="197" customFormat="1" x14ac:dyDescent="0.2">
      <c r="A271"/>
      <c r="B271" s="203"/>
      <c r="W271" s="202"/>
      <c r="X271" s="195"/>
      <c r="AD271" s="193"/>
    </row>
    <row r="272" spans="1:30" s="197" customFormat="1" x14ac:dyDescent="0.2">
      <c r="A272"/>
      <c r="B272" s="203"/>
      <c r="W272" s="202"/>
      <c r="X272" s="195"/>
      <c r="AD272" s="193"/>
    </row>
    <row r="273" spans="1:30" s="197" customFormat="1" x14ac:dyDescent="0.2">
      <c r="A273"/>
      <c r="B273" s="203"/>
      <c r="W273" s="202"/>
      <c r="X273" s="195"/>
      <c r="AD273" s="193"/>
    </row>
    <row r="274" spans="1:30" s="197" customFormat="1" x14ac:dyDescent="0.2">
      <c r="A274"/>
      <c r="B274" s="203"/>
      <c r="W274" s="202"/>
      <c r="X274" s="195"/>
      <c r="AD274" s="193"/>
    </row>
    <row r="275" spans="1:30" s="197" customFormat="1" x14ac:dyDescent="0.2">
      <c r="A275"/>
      <c r="B275" s="203"/>
      <c r="W275" s="202"/>
      <c r="X275" s="195"/>
      <c r="AD275" s="193"/>
    </row>
    <row r="276" spans="1:30" s="197" customFormat="1" x14ac:dyDescent="0.2">
      <c r="A276"/>
      <c r="B276" s="203"/>
      <c r="W276" s="202"/>
      <c r="X276" s="195"/>
      <c r="AD276" s="193"/>
    </row>
    <row r="277" spans="1:30" s="197" customFormat="1" x14ac:dyDescent="0.2">
      <c r="A277"/>
      <c r="B277" s="203"/>
      <c r="W277" s="202"/>
      <c r="X277" s="195"/>
      <c r="AD277" s="193"/>
    </row>
    <row r="278" spans="1:30" s="197" customFormat="1" x14ac:dyDescent="0.2">
      <c r="A278"/>
      <c r="B278" s="203"/>
      <c r="W278" s="202"/>
      <c r="X278" s="195"/>
      <c r="AD278" s="193"/>
    </row>
    <row r="279" spans="1:30" s="197" customFormat="1" x14ac:dyDescent="0.2">
      <c r="A279"/>
      <c r="B279" s="203"/>
      <c r="W279" s="202"/>
      <c r="X279" s="195"/>
      <c r="AD279" s="193"/>
    </row>
    <row r="280" spans="1:30" s="197" customFormat="1" x14ac:dyDescent="0.2">
      <c r="A280"/>
      <c r="B280" s="203"/>
      <c r="W280" s="202"/>
      <c r="X280" s="195"/>
      <c r="AD280" s="193"/>
    </row>
    <row r="281" spans="1:30" s="197" customFormat="1" x14ac:dyDescent="0.2">
      <c r="A281"/>
      <c r="B281" s="203"/>
      <c r="W281" s="202"/>
      <c r="X281" s="195"/>
      <c r="AD281" s="193"/>
    </row>
    <row r="282" spans="1:30" s="197" customFormat="1" x14ac:dyDescent="0.2">
      <c r="A282"/>
      <c r="B282" s="203"/>
      <c r="W282" s="202"/>
      <c r="X282" s="195"/>
      <c r="AD282" s="193"/>
    </row>
    <row r="283" spans="1:30" s="197" customFormat="1" x14ac:dyDescent="0.2">
      <c r="A283"/>
      <c r="B283" s="203"/>
      <c r="W283" s="202"/>
      <c r="X283" s="195"/>
      <c r="AD283" s="193"/>
    </row>
    <row r="284" spans="1:30" s="197" customFormat="1" x14ac:dyDescent="0.2">
      <c r="A284"/>
      <c r="B284" s="203"/>
      <c r="W284" s="202"/>
      <c r="X284" s="195"/>
      <c r="AD284" s="193"/>
    </row>
    <row r="285" spans="1:30" s="197" customFormat="1" x14ac:dyDescent="0.2">
      <c r="A285"/>
      <c r="B285" s="203"/>
      <c r="W285" s="202"/>
      <c r="X285" s="195"/>
      <c r="AD285" s="193"/>
    </row>
    <row r="286" spans="1:30" s="197" customFormat="1" x14ac:dyDescent="0.2">
      <c r="A286"/>
      <c r="B286" s="203"/>
      <c r="W286" s="202"/>
      <c r="X286" s="195"/>
      <c r="AD286" s="193"/>
    </row>
    <row r="287" spans="1:30" s="197" customFormat="1" x14ac:dyDescent="0.2">
      <c r="A287"/>
      <c r="B287" s="203"/>
      <c r="W287" s="202"/>
      <c r="X287" s="195"/>
      <c r="AD287" s="193"/>
    </row>
    <row r="288" spans="1:30" s="197" customFormat="1" x14ac:dyDescent="0.2">
      <c r="A288"/>
      <c r="B288" s="203"/>
      <c r="W288" s="202"/>
      <c r="X288" s="195"/>
      <c r="AD288" s="193"/>
    </row>
    <row r="289" spans="1:30" s="197" customFormat="1" x14ac:dyDescent="0.2">
      <c r="A289"/>
      <c r="B289" s="203"/>
      <c r="W289" s="202"/>
      <c r="X289" s="195"/>
      <c r="AD289" s="193"/>
    </row>
    <row r="290" spans="1:30" s="197" customFormat="1" x14ac:dyDescent="0.2">
      <c r="A290"/>
      <c r="B290" s="203"/>
      <c r="W290" s="202"/>
      <c r="X290" s="195"/>
      <c r="AD290" s="193"/>
    </row>
    <row r="291" spans="1:30" s="197" customFormat="1" x14ac:dyDescent="0.2">
      <c r="A291"/>
      <c r="B291" s="203"/>
      <c r="W291" s="202"/>
      <c r="X291" s="195"/>
      <c r="AD291" s="193"/>
    </row>
    <row r="292" spans="1:30" s="197" customFormat="1" x14ac:dyDescent="0.2">
      <c r="A292"/>
      <c r="B292" s="203"/>
      <c r="W292" s="202"/>
      <c r="X292" s="195"/>
      <c r="AD292" s="193"/>
    </row>
    <row r="293" spans="1:30" s="197" customFormat="1" x14ac:dyDescent="0.2">
      <c r="A293"/>
      <c r="B293" s="203"/>
      <c r="W293" s="202"/>
      <c r="X293" s="195"/>
      <c r="AD293" s="193"/>
    </row>
    <row r="294" spans="1:30" s="197" customFormat="1" x14ac:dyDescent="0.2">
      <c r="A294"/>
      <c r="B294" s="203"/>
      <c r="W294" s="202"/>
      <c r="X294" s="195"/>
      <c r="AD294" s="193"/>
    </row>
    <row r="295" spans="1:30" s="197" customFormat="1" x14ac:dyDescent="0.2">
      <c r="A295"/>
      <c r="B295" s="203"/>
      <c r="W295" s="202"/>
      <c r="X295" s="195"/>
      <c r="AD295" s="193"/>
    </row>
    <row r="296" spans="1:30" s="197" customFormat="1" x14ac:dyDescent="0.2">
      <c r="A296"/>
      <c r="B296" s="203"/>
      <c r="W296" s="202"/>
      <c r="X296" s="195"/>
      <c r="AD296" s="193"/>
    </row>
    <row r="297" spans="1:30" s="197" customFormat="1" x14ac:dyDescent="0.2">
      <c r="A297"/>
      <c r="B297" s="203"/>
      <c r="W297" s="202"/>
      <c r="X297" s="195"/>
      <c r="AD297" s="193"/>
    </row>
    <row r="298" spans="1:30" s="197" customFormat="1" x14ac:dyDescent="0.2">
      <c r="A298"/>
      <c r="B298" s="203"/>
      <c r="W298" s="202"/>
      <c r="X298" s="195"/>
      <c r="AD298" s="193"/>
    </row>
    <row r="299" spans="1:30" s="197" customFormat="1" x14ac:dyDescent="0.2">
      <c r="A299"/>
      <c r="B299" s="203"/>
      <c r="W299" s="202"/>
      <c r="X299" s="195"/>
      <c r="AD299" s="193"/>
    </row>
    <row r="300" spans="1:30" s="197" customFormat="1" x14ac:dyDescent="0.2">
      <c r="A300"/>
      <c r="B300" s="203"/>
      <c r="W300" s="202"/>
      <c r="X300" s="195"/>
      <c r="AD300" s="193"/>
    </row>
    <row r="301" spans="1:30" s="197" customFormat="1" x14ac:dyDescent="0.2">
      <c r="A301"/>
      <c r="B301" s="203"/>
      <c r="W301" s="202"/>
      <c r="X301" s="195"/>
      <c r="AD301" s="193"/>
    </row>
    <row r="302" spans="1:30" s="197" customFormat="1" x14ac:dyDescent="0.2">
      <c r="A302"/>
      <c r="B302" s="203"/>
      <c r="W302" s="202"/>
      <c r="X302" s="195"/>
      <c r="AD302" s="193"/>
    </row>
    <row r="303" spans="1:30" s="197" customFormat="1" x14ac:dyDescent="0.2">
      <c r="A303"/>
      <c r="B303" s="203"/>
      <c r="W303" s="202"/>
      <c r="X303" s="195"/>
      <c r="AD303" s="193"/>
    </row>
    <row r="304" spans="1:30" s="197" customFormat="1" x14ac:dyDescent="0.2">
      <c r="A304"/>
      <c r="B304" s="203"/>
      <c r="W304" s="202"/>
      <c r="X304" s="195"/>
      <c r="AD304" s="193"/>
    </row>
    <row r="305" spans="1:30" s="197" customFormat="1" x14ac:dyDescent="0.2">
      <c r="A305"/>
      <c r="B305" s="203"/>
      <c r="W305" s="202"/>
      <c r="X305" s="195"/>
      <c r="AD305" s="193"/>
    </row>
    <row r="306" spans="1:30" s="197" customFormat="1" x14ac:dyDescent="0.2">
      <c r="A306"/>
      <c r="B306" s="203"/>
      <c r="W306" s="202"/>
      <c r="X306" s="195"/>
      <c r="AD306" s="193"/>
    </row>
    <row r="307" spans="1:30" s="197" customFormat="1" x14ac:dyDescent="0.2">
      <c r="A307"/>
      <c r="B307" s="203"/>
      <c r="W307" s="202"/>
      <c r="X307" s="195"/>
      <c r="AD307" s="193"/>
    </row>
    <row r="308" spans="1:30" s="197" customFormat="1" x14ac:dyDescent="0.2">
      <c r="A308"/>
      <c r="B308" s="203"/>
      <c r="W308" s="202"/>
      <c r="X308" s="195"/>
      <c r="AD308" s="193"/>
    </row>
    <row r="309" spans="1:30" s="197" customFormat="1" x14ac:dyDescent="0.2">
      <c r="A309"/>
      <c r="B309" s="203"/>
      <c r="W309" s="202"/>
      <c r="X309" s="195"/>
      <c r="AD309" s="193"/>
    </row>
    <row r="310" spans="1:30" s="197" customFormat="1" x14ac:dyDescent="0.2">
      <c r="A310"/>
      <c r="B310" s="203"/>
      <c r="W310" s="202"/>
      <c r="X310" s="195"/>
      <c r="AD310" s="193"/>
    </row>
  </sheetData>
  <mergeCells count="56">
    <mergeCell ref="B139:B145"/>
    <mergeCell ref="B146:B152"/>
    <mergeCell ref="B153:B161"/>
    <mergeCell ref="B162:B168"/>
    <mergeCell ref="B169:B173"/>
    <mergeCell ref="B109:B114"/>
    <mergeCell ref="B115:B119"/>
    <mergeCell ref="B120:B123"/>
    <mergeCell ref="B124:B127"/>
    <mergeCell ref="B128:B133"/>
    <mergeCell ref="B134:B138"/>
    <mergeCell ref="B67:B72"/>
    <mergeCell ref="B73:B81"/>
    <mergeCell ref="B82:B87"/>
    <mergeCell ref="B88:B95"/>
    <mergeCell ref="B96:B102"/>
    <mergeCell ref="B103:B108"/>
    <mergeCell ref="AA5:AA9"/>
    <mergeCell ref="AB5:AB9"/>
    <mergeCell ref="B42:B47"/>
    <mergeCell ref="B48:B52"/>
    <mergeCell ref="B53:B59"/>
    <mergeCell ref="B60:B66"/>
    <mergeCell ref="AA4:AB4"/>
    <mergeCell ref="AC4:AC9"/>
    <mergeCell ref="AD4:AD9"/>
    <mergeCell ref="AE4:AE9"/>
    <mergeCell ref="H5:H9"/>
    <mergeCell ref="I5:I9"/>
    <mergeCell ref="J5:J9"/>
    <mergeCell ref="K5:K9"/>
    <mergeCell ref="L5:L9"/>
    <mergeCell ref="Q5:Q9"/>
    <mergeCell ref="U4:U9"/>
    <mergeCell ref="V4:V9"/>
    <mergeCell ref="W4:W9"/>
    <mergeCell ref="X4:X9"/>
    <mergeCell ref="Y4:Y9"/>
    <mergeCell ref="Z4:Z9"/>
    <mergeCell ref="N4:N9"/>
    <mergeCell ref="O4:O9"/>
    <mergeCell ref="P4:P9"/>
    <mergeCell ref="Q4:R4"/>
    <mergeCell ref="S4:S9"/>
    <mergeCell ref="T4:T9"/>
    <mergeCell ref="R5:R9"/>
    <mergeCell ref="B1:AE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2018) (2)</vt:lpstr>
      <vt:lpstr>'декабрь 2018) (2)'!Заголовки_для_печати</vt:lpstr>
      <vt:lpstr>'декабрь 2018)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В. Палладий</dc:creator>
  <cp:lastModifiedBy>Светлана В. Палладий</cp:lastModifiedBy>
  <dcterms:created xsi:type="dcterms:W3CDTF">2019-01-25T08:01:31Z</dcterms:created>
  <dcterms:modified xsi:type="dcterms:W3CDTF">2019-01-25T08:02:55Z</dcterms:modified>
</cp:coreProperties>
</file>